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23064" windowHeight="4860"/>
  </bookViews>
  <sheets>
    <sheet name="Checks" sheetId="6" r:id="rId1"/>
    <sheet name="Assumptions" sheetId="2" r:id="rId2"/>
    <sheet name="PL" sheetId="1" r:id="rId3"/>
    <sheet name="BS" sheetId="4" r:id="rId4"/>
    <sheet name="CF - Direct" sheetId="5" r:id="rId5"/>
    <sheet name="CF - Indirect" sheetId="3" r:id="rId6"/>
  </sheets>
  <definedNames>
    <definedName name="CheckBS">BS!$A$42</definedName>
    <definedName name="CheckC2C">'CF - Direct'!$A$39</definedName>
    <definedName name="CheckCash">'CF - Indirect'!$A$38</definedName>
    <definedName name="_xlnm.Print_Area" localSheetId="1">Assumptions!$A$1:$F$33</definedName>
    <definedName name="_xlnm.Print_Area" localSheetId="3">BS!$A$1:$F$43</definedName>
    <definedName name="_xlnm.Print_Area" localSheetId="4">'CF - Direct'!$A$1:$F$52</definedName>
    <definedName name="_xlnm.Print_Area" localSheetId="5">'CF - Indirect'!$A$1:$F$41</definedName>
    <definedName name="_xlnm.Print_Area" localSheetId="2">PL!$A$1:$F$23</definedName>
  </definedNames>
  <calcPr calcId="145621"/>
</workbook>
</file>

<file path=xl/calcChain.xml><?xml version="1.0" encoding="utf-8"?>
<calcChain xmlns="http://schemas.openxmlformats.org/spreadsheetml/2006/main">
  <c r="C37" i="4" l="1"/>
  <c r="D20" i="3" l="1"/>
  <c r="C35" i="3"/>
  <c r="C36" i="5"/>
  <c r="D31" i="5"/>
  <c r="E31" i="5"/>
  <c r="C31" i="5"/>
  <c r="C22" i="3" l="1"/>
  <c r="C21" i="3"/>
  <c r="D19" i="5"/>
  <c r="E19" i="5"/>
  <c r="C19" i="5"/>
  <c r="D18" i="5"/>
  <c r="E18" i="5"/>
  <c r="C18" i="5"/>
  <c r="D17" i="5"/>
  <c r="E17" i="5"/>
  <c r="C17" i="5"/>
  <c r="D11" i="5"/>
  <c r="E11" i="5"/>
  <c r="C11" i="5"/>
  <c r="D10" i="5"/>
  <c r="E10" i="5"/>
  <c r="C10" i="5"/>
  <c r="C9" i="4" l="1"/>
  <c r="D5" i="6" l="1"/>
  <c r="D4" i="6"/>
  <c r="D6" i="6"/>
  <c r="C22" i="5"/>
  <c r="B9" i="1" l="1"/>
  <c r="B14" i="1" s="1"/>
  <c r="C35" i="5" l="1"/>
  <c r="D30" i="5"/>
  <c r="E30" i="5"/>
  <c r="C30" i="5"/>
  <c r="D29" i="5"/>
  <c r="E29" i="5"/>
  <c r="C29" i="5"/>
  <c r="D26" i="5"/>
  <c r="E26" i="5"/>
  <c r="C26" i="5"/>
  <c r="E26" i="2"/>
  <c r="D26" i="2"/>
  <c r="D28" i="3"/>
  <c r="E28" i="3"/>
  <c r="C28" i="3"/>
  <c r="C28" i="4" s="1"/>
  <c r="D29" i="3"/>
  <c r="E29" i="3"/>
  <c r="C29" i="3"/>
  <c r="C24" i="4"/>
  <c r="C17" i="1"/>
  <c r="C15" i="1"/>
  <c r="C10" i="3" s="1"/>
  <c r="C22" i="4"/>
  <c r="C18" i="3" s="1"/>
  <c r="C15" i="4" l="1"/>
  <c r="C16" i="4" s="1"/>
  <c r="D22" i="4"/>
  <c r="D24" i="4"/>
  <c r="C18" i="1"/>
  <c r="C36" i="4"/>
  <c r="D36" i="4" s="1"/>
  <c r="E36" i="4" s="1"/>
  <c r="B29" i="4"/>
  <c r="C34" i="3"/>
  <c r="D19" i="2"/>
  <c r="E19" i="2" s="1"/>
  <c r="B25" i="4"/>
  <c r="C25" i="3"/>
  <c r="C29" i="4"/>
  <c r="B16" i="4"/>
  <c r="C21" i="5" l="1"/>
  <c r="C20" i="3"/>
  <c r="C11" i="3"/>
  <c r="D18" i="3"/>
  <c r="E22" i="4"/>
  <c r="E18" i="3" s="1"/>
  <c r="C30" i="3"/>
  <c r="D28" i="4"/>
  <c r="D18" i="1" s="1"/>
  <c r="B12" i="4"/>
  <c r="B18" i="4" s="1"/>
  <c r="B31" i="4"/>
  <c r="E24" i="4" l="1"/>
  <c r="E28" i="4" s="1"/>
  <c r="E29" i="4" s="1"/>
  <c r="D29" i="4"/>
  <c r="B33" i="4"/>
  <c r="E18" i="1" l="1"/>
  <c r="A5" i="5"/>
  <c r="B4" i="5"/>
  <c r="A4" i="5"/>
  <c r="A5" i="3"/>
  <c r="B4" i="3"/>
  <c r="A4" i="3"/>
  <c r="A5" i="4"/>
  <c r="B4" i="4"/>
  <c r="A4" i="4"/>
  <c r="A5" i="1"/>
  <c r="B4" i="1"/>
  <c r="A4" i="1"/>
  <c r="B5" i="2"/>
  <c r="B5" i="3" s="1"/>
  <c r="D18" i="2"/>
  <c r="D17" i="2"/>
  <c r="D16" i="2"/>
  <c r="C12" i="1"/>
  <c r="C14" i="5" s="1"/>
  <c r="D29" i="2"/>
  <c r="D28" i="2"/>
  <c r="E28" i="2" s="1"/>
  <c r="D25" i="2"/>
  <c r="E25" i="2" s="1"/>
  <c r="D15" i="2"/>
  <c r="E15" i="2"/>
  <c r="D14" i="2"/>
  <c r="D13" i="2"/>
  <c r="E13" i="2" s="1"/>
  <c r="D12" i="2"/>
  <c r="E12" i="2" s="1"/>
  <c r="D11" i="2"/>
  <c r="E11" i="2"/>
  <c r="C7" i="1"/>
  <c r="C8" i="5" s="1"/>
  <c r="D9" i="2"/>
  <c r="E9" i="2" s="1"/>
  <c r="D10" i="2"/>
  <c r="E10" i="2" s="1"/>
  <c r="C4" i="2"/>
  <c r="C4" i="1" s="1"/>
  <c r="D8" i="2"/>
  <c r="E8" i="2" s="1"/>
  <c r="D7" i="2"/>
  <c r="E7" i="2" s="1"/>
  <c r="D15" i="1" l="1"/>
  <c r="E29" i="2"/>
  <c r="E17" i="2"/>
  <c r="E18" i="2"/>
  <c r="C4" i="5"/>
  <c r="E14" i="2"/>
  <c r="E25" i="3" s="1"/>
  <c r="D25" i="3"/>
  <c r="E16" i="2"/>
  <c r="D7" i="1"/>
  <c r="D8" i="5" s="1"/>
  <c r="C10" i="4"/>
  <c r="B5" i="5"/>
  <c r="C4" i="4"/>
  <c r="B5" i="1"/>
  <c r="C4" i="3"/>
  <c r="C5" i="2"/>
  <c r="B5" i="4"/>
  <c r="D4" i="2"/>
  <c r="D4" i="5" s="1"/>
  <c r="C8" i="1"/>
  <c r="C11" i="1"/>
  <c r="C13" i="5" s="1"/>
  <c r="C10" i="1"/>
  <c r="C9" i="5" s="1"/>
  <c r="D12" i="1"/>
  <c r="C13" i="1"/>
  <c r="C15" i="5" s="1"/>
  <c r="E12" i="1" l="1"/>
  <c r="E14" i="5" s="1"/>
  <c r="D14" i="5"/>
  <c r="C9" i="1"/>
  <c r="C16" i="5"/>
  <c r="D9" i="1"/>
  <c r="D15" i="4"/>
  <c r="E15" i="1" s="1"/>
  <c r="E10" i="3" s="1"/>
  <c r="D10" i="3"/>
  <c r="C16" i="3"/>
  <c r="D10" i="4"/>
  <c r="D13" i="1"/>
  <c r="D15" i="5" s="1"/>
  <c r="D8" i="1"/>
  <c r="D16" i="5" s="1"/>
  <c r="C21" i="4"/>
  <c r="C8" i="4"/>
  <c r="C5" i="5"/>
  <c r="D10" i="1"/>
  <c r="D9" i="5" s="1"/>
  <c r="D11" i="1"/>
  <c r="D13" i="5" s="1"/>
  <c r="E7" i="1"/>
  <c r="E8" i="5" s="1"/>
  <c r="C5" i="3"/>
  <c r="C5" i="1"/>
  <c r="C5" i="4"/>
  <c r="D4" i="1"/>
  <c r="D5" i="2"/>
  <c r="D4" i="4"/>
  <c r="D4" i="3"/>
  <c r="E4" i="2"/>
  <c r="E4" i="5" s="1"/>
  <c r="C20" i="5" l="1"/>
  <c r="D16" i="4"/>
  <c r="C15" i="3"/>
  <c r="E10" i="4"/>
  <c r="E16" i="3" s="1"/>
  <c r="D16" i="3"/>
  <c r="E15" i="4"/>
  <c r="E16" i="4" s="1"/>
  <c r="C17" i="3"/>
  <c r="C14" i="3"/>
  <c r="E8" i="1"/>
  <c r="D5" i="5"/>
  <c r="D21" i="4"/>
  <c r="D9" i="4"/>
  <c r="D15" i="3" s="1"/>
  <c r="D8" i="4"/>
  <c r="D14" i="3" s="1"/>
  <c r="E10" i="1"/>
  <c r="E9" i="5" s="1"/>
  <c r="E11" i="1"/>
  <c r="E13" i="5" s="1"/>
  <c r="E13" i="1"/>
  <c r="E15" i="5" s="1"/>
  <c r="E4" i="3"/>
  <c r="E4" i="4"/>
  <c r="E5" i="2"/>
  <c r="E4" i="1"/>
  <c r="D5" i="4"/>
  <c r="D5" i="1"/>
  <c r="D5" i="3"/>
  <c r="D12" i="5" l="1"/>
  <c r="C12" i="5"/>
  <c r="C23" i="5" s="1"/>
  <c r="E9" i="1"/>
  <c r="E16" i="5"/>
  <c r="D17" i="3"/>
  <c r="D20" i="5" s="1"/>
  <c r="E5" i="5"/>
  <c r="E21" i="4"/>
  <c r="E8" i="4"/>
  <c r="E14" i="3" s="1"/>
  <c r="E9" i="4"/>
  <c r="E5" i="4"/>
  <c r="E5" i="1"/>
  <c r="E5" i="3"/>
  <c r="C33" i="5" l="1"/>
  <c r="D35" i="5" s="1"/>
  <c r="E15" i="3"/>
  <c r="E12" i="5" s="1"/>
  <c r="E17" i="3"/>
  <c r="E20" i="5" s="1"/>
  <c r="B16" i="1" l="1"/>
  <c r="B19" i="1" s="1"/>
  <c r="B21" i="1" l="1"/>
  <c r="B39" i="4" l="1"/>
  <c r="B42" i="4" s="1"/>
  <c r="C14" i="1"/>
  <c r="C16" i="1" s="1"/>
  <c r="E14" i="1"/>
  <c r="E16" i="1" s="1"/>
  <c r="D14" i="1"/>
  <c r="D16" i="1" s="1"/>
  <c r="C19" i="1" l="1"/>
  <c r="C20" i="1" s="1"/>
  <c r="C21" i="1" l="1"/>
  <c r="C38" i="4" s="1"/>
  <c r="C23" i="4"/>
  <c r="C9" i="3"/>
  <c r="D21" i="3" l="1"/>
  <c r="D22" i="5"/>
  <c r="C8" i="3"/>
  <c r="C25" i="4"/>
  <c r="C31" i="4" s="1"/>
  <c r="C39" i="4"/>
  <c r="D37" i="4"/>
  <c r="C12" i="3" l="1"/>
  <c r="C19" i="3" s="1"/>
  <c r="C32" i="3" l="1"/>
  <c r="C11" i="4" s="1"/>
  <c r="C38" i="3" s="1"/>
  <c r="C12" i="4" l="1"/>
  <c r="D17" i="1"/>
  <c r="C39" i="5"/>
  <c r="C18" i="4"/>
  <c r="C33" i="4" s="1"/>
  <c r="C42" i="4" s="1"/>
  <c r="D34" i="3"/>
  <c r="D30" i="3" l="1"/>
  <c r="D11" i="3"/>
  <c r="D21" i="5"/>
  <c r="D19" i="1"/>
  <c r="D20" i="1" s="1"/>
  <c r="D21" i="1" l="1"/>
  <c r="D8" i="3" s="1"/>
  <c r="D23" i="5"/>
  <c r="D33" i="5" s="1"/>
  <c r="D9" i="3"/>
  <c r="D23" i="4"/>
  <c r="D36" i="5" l="1"/>
  <c r="D38" i="4"/>
  <c r="E37" i="4" s="1"/>
  <c r="D39" i="4"/>
  <c r="D25" i="4"/>
  <c r="D31" i="4" s="1"/>
  <c r="E22" i="5"/>
  <c r="E21" i="3"/>
  <c r="D12" i="3"/>
  <c r="D19" i="3" s="1"/>
  <c r="D22" i="3" l="1"/>
  <c r="D35" i="3" s="1"/>
  <c r="E35" i="5"/>
  <c r="D32" i="3"/>
  <c r="E34" i="3" l="1"/>
  <c r="D11" i="4"/>
  <c r="D38" i="3" s="1"/>
  <c r="D12" i="4" l="1"/>
  <c r="D18" i="4" s="1"/>
  <c r="D33" i="4" s="1"/>
  <c r="D42" i="4" s="1"/>
  <c r="E17" i="1"/>
  <c r="E20" i="3" s="1"/>
  <c r="D39" i="5"/>
  <c r="E19" i="1" l="1"/>
  <c r="E20" i="1" s="1"/>
  <c r="E11" i="3"/>
  <c r="E30" i="3"/>
  <c r="E21" i="5"/>
  <c r="E21" i="1" l="1"/>
  <c r="E8" i="3" s="1"/>
  <c r="E23" i="5"/>
  <c r="E33" i="5" s="1"/>
  <c r="E9" i="3"/>
  <c r="E23" i="4"/>
  <c r="E36" i="5" l="1"/>
  <c r="E38" i="4"/>
  <c r="E39" i="4" s="1"/>
  <c r="E12" i="3"/>
  <c r="E25" i="4"/>
  <c r="E31" i="4" s="1"/>
  <c r="E19" i="3" l="1"/>
  <c r="E22" i="3" s="1"/>
  <c r="E32" i="3" l="1"/>
  <c r="E35" i="3" s="1"/>
  <c r="E11" i="4" l="1"/>
  <c r="E12" i="4" l="1"/>
  <c r="E18" i="4" s="1"/>
  <c r="E33" i="4" s="1"/>
  <c r="E42" i="4" s="1"/>
  <c r="A42" i="4" s="1"/>
  <c r="E39" i="5"/>
  <c r="A39" i="5" s="1"/>
  <c r="E38" i="3"/>
  <c r="A38" i="3" s="1"/>
  <c r="C4" i="6"/>
  <c r="C6" i="6"/>
  <c r="C5" i="6"/>
</calcChain>
</file>

<file path=xl/sharedStrings.xml><?xml version="1.0" encoding="utf-8"?>
<sst xmlns="http://schemas.openxmlformats.org/spreadsheetml/2006/main" count="150" uniqueCount="109">
  <si>
    <t>Income Statement</t>
  </si>
  <si>
    <t>Revenue</t>
  </si>
  <si>
    <t>Cost of Sales</t>
  </si>
  <si>
    <t>Selling expenses</t>
  </si>
  <si>
    <t>Gross Profit</t>
  </si>
  <si>
    <t xml:space="preserve">Other income </t>
  </si>
  <si>
    <t>Staff Costs</t>
  </si>
  <si>
    <t>Other expenses</t>
  </si>
  <si>
    <t>EBITDA</t>
  </si>
  <si>
    <t>Depreciation</t>
  </si>
  <si>
    <t>EBIT</t>
  </si>
  <si>
    <t>Interest expense</t>
  </si>
  <si>
    <t>EBT</t>
  </si>
  <si>
    <t>Tax Expense</t>
  </si>
  <si>
    <t>NPAT</t>
  </si>
  <si>
    <t>Balance Sheet</t>
  </si>
  <si>
    <t>Current Assets</t>
  </si>
  <si>
    <t>Inventories</t>
  </si>
  <si>
    <t>Other receivables</t>
  </si>
  <si>
    <t>Bank and cash</t>
  </si>
  <si>
    <t>Total Current Assets</t>
  </si>
  <si>
    <t>Non Current Assets</t>
  </si>
  <si>
    <t>Fixed Assets</t>
  </si>
  <si>
    <t>Total Non Current Assets</t>
  </si>
  <si>
    <t>Total Assets</t>
  </si>
  <si>
    <t>Current Liabilities</t>
  </si>
  <si>
    <t>Other payables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</si>
  <si>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</si>
  <si>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</si>
  <si>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</si>
  <si>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</si>
  <si>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</si>
  <si>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</si>
  <si>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Share Capital</t>
  </si>
  <si>
    <t>Retained Earnings from current period</t>
  </si>
  <si>
    <t>Total Equity</t>
  </si>
  <si>
    <t>Cash Flow Statement</t>
  </si>
  <si>
    <t>Operating Cash Flows</t>
  </si>
  <si>
    <t>Total Operating Cash Flows</t>
  </si>
  <si>
    <t>Investing Cash Flows</t>
  </si>
  <si>
    <t>Financing Cash Flows</t>
  </si>
  <si>
    <t>Interest Income/(Expense)</t>
  </si>
  <si>
    <t>Total Financing Cash Flows</t>
  </si>
  <si>
    <t>Net Cash Flow</t>
  </si>
  <si>
    <t>Wages &amp; Salaries Growth Rate (%)</t>
  </si>
  <si>
    <t>Revenue Growth Rate (%)</t>
  </si>
  <si>
    <t>CAPEX (abs)</t>
  </si>
  <si>
    <t>Depreciable Life of PP&amp;E</t>
  </si>
  <si>
    <t>ASSUMPTIONS</t>
  </si>
  <si>
    <t>HIST</t>
  </si>
  <si>
    <t>FORECAST</t>
  </si>
  <si>
    <t>COGs - % of Sales</t>
  </si>
  <si>
    <t>Selling expenses - % of Sales</t>
  </si>
  <si>
    <t>Other income - % of Sales</t>
  </si>
  <si>
    <t>Tax rate - Effective (%)</t>
  </si>
  <si>
    <t>Other expenses - % of Sales</t>
  </si>
  <si>
    <t>Operating Assumptions</t>
  </si>
  <si>
    <t>Capital Assumptions</t>
  </si>
  <si>
    <t>Term Debt Principal Drawdowns</t>
  </si>
  <si>
    <t>Term Debt Interest Rate (%)</t>
  </si>
  <si>
    <t>Cash Interest Rate (%)</t>
  </si>
  <si>
    <t>Receivables Days</t>
  </si>
  <si>
    <t>Inventory Days</t>
  </si>
  <si>
    <t>Creditor Days</t>
  </si>
  <si>
    <t>Year</t>
  </si>
  <si>
    <t>Days in Year</t>
  </si>
  <si>
    <t>Debt Principal Repayments</t>
  </si>
  <si>
    <t>Check</t>
  </si>
  <si>
    <t>Tax Payment</t>
  </si>
  <si>
    <t>Working Capital - Changes</t>
  </si>
  <si>
    <t>Capital expenditure</t>
  </si>
  <si>
    <t>Trade receivables</t>
  </si>
  <si>
    <t>Trade payables</t>
  </si>
  <si>
    <t>Other receivables - % of Sales</t>
  </si>
  <si>
    <t>New equity issued</t>
  </si>
  <si>
    <t>Opening retained earnings</t>
  </si>
  <si>
    <t>Tax payable</t>
  </si>
  <si>
    <t>New debt raised</t>
  </si>
  <si>
    <t>Debt amortisation</t>
  </si>
  <si>
    <t>Interest income</t>
  </si>
  <si>
    <t>Interest-bearing debt</t>
  </si>
  <si>
    <t>PROFIT OR LOSS</t>
  </si>
  <si>
    <t>BALANCE SHEET</t>
  </si>
  <si>
    <t>CASHFLOW STATEMENT - INDIRECT</t>
  </si>
  <si>
    <t>CASHFLOW STATEMENT - DIRECT</t>
  </si>
  <si>
    <t>Tax payment</t>
  </si>
  <si>
    <t>Payments</t>
  </si>
  <si>
    <t>Operating profit</t>
  </si>
  <si>
    <t>Closing Cash Balance</t>
  </si>
  <si>
    <t>Opening Cash Balance</t>
  </si>
  <si>
    <t>Cash Check</t>
  </si>
  <si>
    <t>Description</t>
  </si>
  <si>
    <t>RangeName</t>
  </si>
  <si>
    <t>Result</t>
  </si>
  <si>
    <t>Link</t>
  </si>
  <si>
    <t>Comments</t>
  </si>
  <si>
    <t>Report balance sheets balance</t>
  </si>
  <si>
    <t>CheckCash</t>
  </si>
  <si>
    <t>CheckBS</t>
  </si>
  <si>
    <t>ERROR CHECKS</t>
  </si>
  <si>
    <t>Sales</t>
  </si>
  <si>
    <t>Cost of Goods Sold</t>
  </si>
  <si>
    <t>Receipts</t>
  </si>
  <si>
    <t>CheckC2C</t>
  </si>
  <si>
    <t>Direct to Indirect</t>
  </si>
  <si>
    <t>Cash Balance</t>
  </si>
  <si>
    <t>Note:</t>
  </si>
  <si>
    <t>For simplicity, assume that there is no deferred tax and tax balances are paid out in the next financial year</t>
  </si>
  <si>
    <t>Cash Flows from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</si>
</sst>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9" tint="-0.249977111117893"/>
      <name val="Arial"/>
      <family val="2"/>
    </font>
    <font>
      <sz val="10"/>
      <color rgb="FF3F3F76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rgb="FF7F7F7F"/>
      </left>
      <right style="dashed">
        <color rgb="FF7F7F7F"/>
      </right>
      <top style="dashed">
        <color rgb="FF7F7F7F"/>
      </top>
      <bottom style="dashed">
        <color rgb="FF7F7F7F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5" fillId="4" borderId="0" xfId="2" applyFont="1" applyFill="1" applyAlignment="1">
      <alignment horizontal="right"/>
    </xf>
    <xf numFmtId="0" fontId="3" fillId="0" borderId="0" xfId="0" applyFont="1"/>
    <xf numFmtId="0" fontId="6" fillId="0" borderId="0" xfId="0" applyFont="1"/>
    <xf numFmtId="0" fontId="4" fillId="0" borderId="0" xfId="0" applyFont="1"/>
    <xf numFmtId="165" fontId="2" fillId="0" borderId="0" xfId="0" applyNumberFormat="1" applyFont="1"/>
    <xf numFmtId="165" fontId="3" fillId="0" borderId="3" xfId="0" applyNumberFormat="1" applyFont="1" applyBorder="1"/>
    <xf numFmtId="0" fontId="2" fillId="0" borderId="0" xfId="0" applyFont="1" applyAlignment="1">
      <alignment horizontal="left" indent="1"/>
    </xf>
    <xf numFmtId="165" fontId="3" fillId="0" borderId="2" xfId="0" applyNumberFormat="1" applyFont="1" applyBorder="1"/>
    <xf numFmtId="165" fontId="3" fillId="0" borderId="0" xfId="0" applyNumberFormat="1" applyFont="1" applyBorder="1"/>
    <xf numFmtId="0" fontId="3" fillId="0" borderId="10" xfId="0" applyFont="1" applyBorder="1"/>
    <xf numFmtId="165" fontId="7" fillId="0" borderId="3" xfId="0" applyNumberFormat="1" applyFont="1" applyBorder="1"/>
    <xf numFmtId="165" fontId="8" fillId="0" borderId="0" xfId="0" applyNumberFormat="1" applyFont="1"/>
    <xf numFmtId="165" fontId="7" fillId="0" borderId="2" xfId="0" applyNumberFormat="1" applyFont="1" applyBorder="1"/>
    <xf numFmtId="165" fontId="7" fillId="0" borderId="0" xfId="0" applyNumberFormat="1" applyFont="1" applyBorder="1"/>
    <xf numFmtId="43" fontId="8" fillId="0" borderId="0" xfId="0" applyNumberFormat="1" applyFont="1"/>
    <xf numFmtId="0" fontId="9" fillId="0" borderId="2" xfId="0" applyFont="1" applyBorder="1"/>
    <xf numFmtId="0" fontId="4" fillId="0" borderId="0" xfId="0" applyFont="1" applyAlignment="1">
      <alignment horizontal="left" indent="1"/>
    </xf>
    <xf numFmtId="0" fontId="11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9" xfId="0" applyFont="1" applyBorder="1"/>
    <xf numFmtId="0" fontId="3" fillId="3" borderId="0" xfId="0" applyFont="1" applyFill="1"/>
    <xf numFmtId="43" fontId="2" fillId="0" borderId="0" xfId="0" applyNumberFormat="1" applyFont="1"/>
    <xf numFmtId="165" fontId="12" fillId="0" borderId="2" xfId="0" applyNumberFormat="1" applyFont="1" applyBorder="1"/>
    <xf numFmtId="165" fontId="9" fillId="0" borderId="2" xfId="0" applyNumberFormat="1" applyFont="1" applyBorder="1"/>
    <xf numFmtId="165" fontId="3" fillId="0" borderId="10" xfId="0" applyNumberFormat="1" applyFont="1" applyBorder="1"/>
    <xf numFmtId="4" fontId="2" fillId="0" borderId="0" xfId="0" applyNumberFormat="1" applyFont="1"/>
    <xf numFmtId="165" fontId="3" fillId="0" borderId="0" xfId="0" applyNumberFormat="1" applyFont="1"/>
    <xf numFmtId="164" fontId="13" fillId="2" borderId="5" xfId="1" applyNumberFormat="1" applyFont="1" applyBorder="1"/>
    <xf numFmtId="164" fontId="2" fillId="0" borderId="6" xfId="0" applyNumberFormat="1" applyFont="1" applyBorder="1"/>
    <xf numFmtId="164" fontId="2" fillId="0" borderId="4" xfId="0" applyNumberFormat="1" applyFont="1" applyBorder="1"/>
    <xf numFmtId="165" fontId="13" fillId="2" borderId="5" xfId="1" applyNumberFormat="1" applyFont="1" applyBorder="1"/>
    <xf numFmtId="165" fontId="2" fillId="0" borderId="6" xfId="0" applyNumberFormat="1" applyFont="1" applyBorder="1"/>
    <xf numFmtId="165" fontId="2" fillId="0" borderId="4" xfId="0" applyNumberFormat="1" applyFont="1" applyBorder="1"/>
    <xf numFmtId="41" fontId="13" fillId="2" borderId="5" xfId="1" applyNumberFormat="1" applyFont="1" applyBorder="1"/>
    <xf numFmtId="41" fontId="2" fillId="0" borderId="6" xfId="0" applyNumberFormat="1" applyFont="1" applyBorder="1"/>
    <xf numFmtId="41" fontId="2" fillId="0" borderId="4" xfId="0" applyNumberFormat="1" applyFont="1" applyBorder="1"/>
    <xf numFmtId="0" fontId="14" fillId="0" borderId="0" xfId="3" applyFont="1"/>
    <xf numFmtId="0" fontId="2" fillId="0" borderId="0" xfId="0" applyFont="1" applyFill="1" applyAlignment="1">
      <alignment horizontal="left" indent="1"/>
    </xf>
    <xf numFmtId="0" fontId="2" fillId="0" borderId="0" xfId="0" applyFont="1" applyAlignment="1">
      <alignment horizontal="left" vertical="top" wrapText="1"/>
    </xf>
  </cellXfs>
  <cellStyles count="4">
    <cellStyle name="Hyperlink" xfId="3" builtinId="8"/>
    <cellStyle name="Input" xfId="1" builtinId="20"/>
    <cellStyle name="Normal" xfId="0" builtinId="0"/>
    <cellStyle name="Normal 3" xfId="2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Relationship Id="rId4" Type="http://schemas.openxmlformats.org/officeDocument/2006/relationships/customProperty" Target="../customProperty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tabSelected="1" workbookViewId="0">
      <selection sqref="A1:E7"/>
    </sheetView>
  </sheetViews>
  <sheetFormatPr defaultColWidth="0" defaultRowHeight="13.2" zeroHeight="1" x14ac:dyDescent="0.25"/>
  <cols>
    <col min="1" max="1" width="26.21875" style="1" bestFit="1" customWidth="1"/>
    <col min="2" max="5" width="15.77734375" style="1" customWidth="1"/>
    <col min="6" max="16384" width="8.88671875" style="1" hidden="1"/>
  </cols>
  <sheetData>
    <row r="1" spans="1:5" x14ac:dyDescent="0.25">
      <c r="A1" s="6" t="s">
        <v>99</v>
      </c>
    </row>
    <row r="2" spans="1:5" x14ac:dyDescent="0.25"/>
    <row r="3" spans="1:5" x14ac:dyDescent="0.25">
      <c r="A3" s="27" t="s">
        <v>91</v>
      </c>
      <c r="B3" s="27" t="s">
        <v>92</v>
      </c>
      <c r="C3" s="27" t="s">
        <v>93</v>
      </c>
      <c r="D3" s="27" t="s">
        <v>94</v>
      </c>
      <c r="E3" s="27" t="s">
        <v>95</v>
      </c>
    </row>
    <row r="4" spans="1:5" x14ac:dyDescent="0.25">
      <c r="A4" s="1" t="s">
        <v>105</v>
      </c>
      <c r="B4" s="1" t="s">
        <v>97</v>
      </c>
      <c r="C4" s="9" t="str">
        <f ca="1">INDIRECT(B4)</f>
        <v>OK</v>
      </c>
      <c r="D4" s="43" t="str">
        <f>HYPERLINK("#"&amp;B4,"Link")</f>
        <v>Link</v>
      </c>
    </row>
    <row r="5" spans="1:5" x14ac:dyDescent="0.25">
      <c r="A5" s="1" t="s">
        <v>96</v>
      </c>
      <c r="B5" s="1" t="s">
        <v>98</v>
      </c>
      <c r="C5" s="9" t="str">
        <f ca="1">INDIRECT(B5)</f>
        <v>OK</v>
      </c>
      <c r="D5" s="43" t="str">
        <f>HYPERLINK("#"&amp;B5,"Link")</f>
        <v>Link</v>
      </c>
    </row>
    <row r="6" spans="1:5" x14ac:dyDescent="0.25">
      <c r="A6" s="1" t="s">
        <v>104</v>
      </c>
      <c r="B6" s="1" t="s">
        <v>103</v>
      </c>
      <c r="C6" s="9" t="str">
        <f ca="1">INDIRECT(B6)</f>
        <v>OK</v>
      </c>
      <c r="D6" s="43" t="str">
        <f>HYPERLINK("#"&amp;B6,"Link")</f>
        <v>Link</v>
      </c>
    </row>
    <row r="7" spans="1:5" x14ac:dyDescent="0.25"/>
  </sheetData>
  <conditionalFormatting sqref="C4:C6">
    <cfRule type="cellIs" dxfId="9" priority="1" operator="equal">
      <formula>"ERR"</formula>
    </cfRule>
    <cfRule type="cellIs" dxfId="8" priority="2" operator="equal">
      <formula>"OK"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layoutContexts" r:id="rId2"/>
    <customPr name="SaveUndoMode" r:id="rId3"/>
    <customPr name="screen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>
      <selection activeCell="F23" sqref="F23"/>
    </sheetView>
  </sheetViews>
  <sheetFormatPr defaultColWidth="0" defaultRowHeight="13.2" zeroHeight="1" x14ac:dyDescent="0.25"/>
  <cols>
    <col min="1" max="1" width="29.109375" style="1" bestFit="1" customWidth="1"/>
    <col min="2" max="5" width="12.77734375" style="1" customWidth="1"/>
    <col min="6" max="6" width="8.88671875" style="1" customWidth="1"/>
    <col min="7" max="16384" width="8.88671875" style="1" hidden="1"/>
  </cols>
  <sheetData>
    <row r="1" spans="1:5" x14ac:dyDescent="0.25">
      <c r="A1" s="6" t="s">
        <v>48</v>
      </c>
      <c r="B1" s="6"/>
    </row>
    <row r="2" spans="1:5" x14ac:dyDescent="0.25">
      <c r="A2" s="6"/>
      <c r="B2" s="6"/>
    </row>
    <row r="3" spans="1:5" x14ac:dyDescent="0.25">
      <c r="B3" s="23" t="s">
        <v>49</v>
      </c>
      <c r="C3" s="24" t="s">
        <v>50</v>
      </c>
      <c r="D3" s="25"/>
      <c r="E3" s="26"/>
    </row>
    <row r="4" spans="1:5" x14ac:dyDescent="0.25">
      <c r="A4" s="1" t="s">
        <v>64</v>
      </c>
      <c r="B4" s="5">
        <v>2013</v>
      </c>
      <c r="C4" s="5">
        <f>B4+1</f>
        <v>2014</v>
      </c>
      <c r="D4" s="5">
        <f t="shared" ref="D4:E4" si="0">C4+1</f>
        <v>2015</v>
      </c>
      <c r="E4" s="5">
        <f t="shared" si="0"/>
        <v>2016</v>
      </c>
    </row>
    <row r="5" spans="1:5" x14ac:dyDescent="0.25">
      <c r="A5" s="1" t="s">
        <v>65</v>
      </c>
      <c r="B5" s="5">
        <f>IF(MOD(B4,4)=0,366,365)</f>
        <v>365</v>
      </c>
      <c r="C5" s="5">
        <f t="shared" ref="C5:E5" si="1">IF(MOD(C4,4)=0,366,365)</f>
        <v>365</v>
      </c>
      <c r="D5" s="5">
        <f t="shared" si="1"/>
        <v>365</v>
      </c>
      <c r="E5" s="5">
        <f t="shared" si="1"/>
        <v>366</v>
      </c>
    </row>
    <row r="6" spans="1:5" x14ac:dyDescent="0.25">
      <c r="A6" s="27" t="s">
        <v>56</v>
      </c>
      <c r="B6" s="27"/>
      <c r="C6" s="27"/>
      <c r="D6" s="27"/>
      <c r="E6" s="27"/>
    </row>
    <row r="7" spans="1:5" x14ac:dyDescent="0.25">
      <c r="A7" s="1" t="s">
        <v>45</v>
      </c>
      <c r="C7" s="34">
        <v>0.03</v>
      </c>
      <c r="D7" s="35">
        <f t="shared" ref="D7:E19" si="2">C7</f>
        <v>0.03</v>
      </c>
      <c r="E7" s="36">
        <f t="shared" si="2"/>
        <v>0.03</v>
      </c>
    </row>
    <row r="8" spans="1:5" x14ac:dyDescent="0.25">
      <c r="A8" s="1" t="s">
        <v>51</v>
      </c>
      <c r="C8" s="34">
        <v>0.3</v>
      </c>
      <c r="D8" s="35">
        <f t="shared" si="2"/>
        <v>0.3</v>
      </c>
      <c r="E8" s="36">
        <f t="shared" si="2"/>
        <v>0.3</v>
      </c>
    </row>
    <row r="9" spans="1:5" x14ac:dyDescent="0.25">
      <c r="A9" s="1" t="s">
        <v>44</v>
      </c>
      <c r="C9" s="34">
        <v>0.02</v>
      </c>
      <c r="D9" s="35">
        <f t="shared" si="2"/>
        <v>0.02</v>
      </c>
      <c r="E9" s="36">
        <f t="shared" si="2"/>
        <v>0.02</v>
      </c>
    </row>
    <row r="10" spans="1:5" x14ac:dyDescent="0.25">
      <c r="A10" s="1" t="s">
        <v>52</v>
      </c>
      <c r="C10" s="34">
        <v>0.45</v>
      </c>
      <c r="D10" s="35">
        <f t="shared" si="2"/>
        <v>0.45</v>
      </c>
      <c r="E10" s="36">
        <f t="shared" si="2"/>
        <v>0.45</v>
      </c>
    </row>
    <row r="11" spans="1:5" x14ac:dyDescent="0.25">
      <c r="A11" s="1" t="s">
        <v>53</v>
      </c>
      <c r="C11" s="34">
        <v>0.06</v>
      </c>
      <c r="D11" s="35">
        <f t="shared" si="2"/>
        <v>0.06</v>
      </c>
      <c r="E11" s="36">
        <f t="shared" si="2"/>
        <v>0.06</v>
      </c>
    </row>
    <row r="12" spans="1:5" x14ac:dyDescent="0.25">
      <c r="A12" s="1" t="s">
        <v>55</v>
      </c>
      <c r="C12" s="34">
        <v>0.15</v>
      </c>
      <c r="D12" s="35">
        <f t="shared" si="2"/>
        <v>0.15</v>
      </c>
      <c r="E12" s="36">
        <f t="shared" si="2"/>
        <v>0.15</v>
      </c>
    </row>
    <row r="13" spans="1:5" x14ac:dyDescent="0.25">
      <c r="A13" s="1" t="s">
        <v>54</v>
      </c>
      <c r="C13" s="34">
        <v>0.3</v>
      </c>
      <c r="D13" s="35">
        <f t="shared" si="2"/>
        <v>0.3</v>
      </c>
      <c r="E13" s="36">
        <f t="shared" si="2"/>
        <v>0.3</v>
      </c>
    </row>
    <row r="14" spans="1:5" x14ac:dyDescent="0.25">
      <c r="A14" s="1" t="s">
        <v>46</v>
      </c>
      <c r="C14" s="37">
        <v>20000</v>
      </c>
      <c r="D14" s="38">
        <f t="shared" si="2"/>
        <v>20000</v>
      </c>
      <c r="E14" s="39">
        <f t="shared" si="2"/>
        <v>20000</v>
      </c>
    </row>
    <row r="15" spans="1:5" x14ac:dyDescent="0.25">
      <c r="A15" s="1" t="s">
        <v>47</v>
      </c>
      <c r="C15" s="40">
        <v>10</v>
      </c>
      <c r="D15" s="41">
        <f t="shared" si="2"/>
        <v>10</v>
      </c>
      <c r="E15" s="42">
        <f t="shared" si="2"/>
        <v>10</v>
      </c>
    </row>
    <row r="16" spans="1:5" x14ac:dyDescent="0.25">
      <c r="A16" s="1" t="s">
        <v>61</v>
      </c>
      <c r="C16" s="37">
        <v>30</v>
      </c>
      <c r="D16" s="38">
        <f t="shared" si="2"/>
        <v>30</v>
      </c>
      <c r="E16" s="39">
        <f t="shared" si="2"/>
        <v>30</v>
      </c>
    </row>
    <row r="17" spans="1:5" x14ac:dyDescent="0.25">
      <c r="A17" s="1" t="s">
        <v>62</v>
      </c>
      <c r="C17" s="37">
        <v>50</v>
      </c>
      <c r="D17" s="38">
        <f t="shared" si="2"/>
        <v>50</v>
      </c>
      <c r="E17" s="39">
        <f t="shared" si="2"/>
        <v>50</v>
      </c>
    </row>
    <row r="18" spans="1:5" x14ac:dyDescent="0.25">
      <c r="A18" s="1" t="s">
        <v>63</v>
      </c>
      <c r="C18" s="37">
        <v>70</v>
      </c>
      <c r="D18" s="38">
        <f t="shared" si="2"/>
        <v>70</v>
      </c>
      <c r="E18" s="39">
        <f t="shared" si="2"/>
        <v>70</v>
      </c>
    </row>
    <row r="19" spans="1:5" x14ac:dyDescent="0.25">
      <c r="A19" s="1" t="s">
        <v>73</v>
      </c>
      <c r="C19" s="34">
        <v>2.6591076797871389E-2</v>
      </c>
      <c r="D19" s="35">
        <f t="shared" si="2"/>
        <v>2.6591076797871389E-2</v>
      </c>
      <c r="E19" s="36">
        <f t="shared" si="2"/>
        <v>2.6591076797871389E-2</v>
      </c>
    </row>
    <row r="20" spans="1:5" x14ac:dyDescent="0.25"/>
    <row r="21" spans="1:5" x14ac:dyDescent="0.25">
      <c r="A21" s="6" t="s">
        <v>106</v>
      </c>
    </row>
    <row r="22" spans="1:5" ht="31.8" customHeight="1" x14ac:dyDescent="0.25">
      <c r="A22" s="45" t="s">
        <v>107</v>
      </c>
      <c r="B22" s="45"/>
      <c r="C22" s="45"/>
      <c r="D22" s="45"/>
      <c r="E22" s="45"/>
    </row>
    <row r="23" spans="1:5" x14ac:dyDescent="0.25"/>
    <row r="24" spans="1:5" x14ac:dyDescent="0.25">
      <c r="A24" s="27" t="s">
        <v>57</v>
      </c>
      <c r="B24" s="27"/>
      <c r="C24" s="27"/>
      <c r="D24" s="27"/>
      <c r="E24" s="27"/>
    </row>
    <row r="25" spans="1:5" x14ac:dyDescent="0.25">
      <c r="A25" s="1" t="s">
        <v>66</v>
      </c>
      <c r="C25" s="37">
        <v>100000</v>
      </c>
      <c r="D25" s="38">
        <f t="shared" ref="D25:E25" si="3">C25</f>
        <v>100000</v>
      </c>
      <c r="E25" s="39">
        <f t="shared" si="3"/>
        <v>100000</v>
      </c>
    </row>
    <row r="26" spans="1:5" x14ac:dyDescent="0.25">
      <c r="A26" s="1" t="s">
        <v>74</v>
      </c>
      <c r="C26" s="37">
        <v>0</v>
      </c>
      <c r="D26" s="38">
        <f>C26</f>
        <v>0</v>
      </c>
      <c r="E26" s="39">
        <f>D26</f>
        <v>0</v>
      </c>
    </row>
    <row r="27" spans="1:5" x14ac:dyDescent="0.25">
      <c r="A27" s="1" t="s">
        <v>58</v>
      </c>
      <c r="C27" s="37"/>
      <c r="D27" s="38">
        <v>50000</v>
      </c>
      <c r="E27" s="39"/>
    </row>
    <row r="28" spans="1:5" x14ac:dyDescent="0.25">
      <c r="A28" s="1" t="s">
        <v>59</v>
      </c>
      <c r="C28" s="34">
        <v>5.3999999999999999E-2</v>
      </c>
      <c r="D28" s="35">
        <f t="shared" ref="D28:E28" si="4">C28</f>
        <v>5.3999999999999999E-2</v>
      </c>
      <c r="E28" s="36">
        <f t="shared" si="4"/>
        <v>5.3999999999999999E-2</v>
      </c>
    </row>
    <row r="29" spans="1:5" x14ac:dyDescent="0.25">
      <c r="A29" s="1" t="s">
        <v>60</v>
      </c>
      <c r="C29" s="34">
        <v>3.5000000000000003E-2</v>
      </c>
      <c r="D29" s="35">
        <f t="shared" ref="D29:E29" si="5">C29</f>
        <v>3.5000000000000003E-2</v>
      </c>
      <c r="E29" s="36">
        <f t="shared" si="5"/>
        <v>3.5000000000000003E-2</v>
      </c>
    </row>
    <row r="30" spans="1:5" x14ac:dyDescent="0.25"/>
    <row r="31" spans="1:5" x14ac:dyDescent="0.25"/>
    <row r="32" spans="1:5" x14ac:dyDescent="0.25"/>
    <row r="33" x14ac:dyDescent="0.25"/>
  </sheetData>
  <mergeCells count="1">
    <mergeCell ref="A22:E22"/>
  </mergeCells>
  <pageMargins left="0.7" right="0.7" top="0.75" bottom="0.75" header="0.3" footer="0.3"/>
  <pageSetup paperSize="9" orientation="portrait" horizontalDpi="1200" verticalDpi="1200" r:id="rId1"/>
  <customProperties>
    <customPr name="layoutContexts" r:id="rId2"/>
    <customPr name="SaveUndoMod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F23"/>
    </sheetView>
  </sheetViews>
  <sheetFormatPr defaultColWidth="0" defaultRowHeight="13.2" zeroHeight="1" x14ac:dyDescent="0.25"/>
  <cols>
    <col min="1" max="1" width="33.77734375" style="1" bestFit="1" customWidth="1"/>
    <col min="2" max="5" width="12.77734375" style="1" customWidth="1"/>
    <col min="6" max="6" width="2.44140625" style="1" customWidth="1"/>
    <col min="7" max="16384" width="8.88671875" style="1" hidden="1"/>
  </cols>
  <sheetData>
    <row r="1" spans="1:5" x14ac:dyDescent="0.25">
      <c r="A1" s="6" t="s">
        <v>81</v>
      </c>
    </row>
    <row r="2" spans="1:5" x14ac:dyDescent="0.25"/>
    <row r="3" spans="1:5" x14ac:dyDescent="0.25">
      <c r="B3" s="23" t="s">
        <v>49</v>
      </c>
      <c r="C3" s="24" t="s">
        <v>50</v>
      </c>
      <c r="D3" s="25"/>
      <c r="E3" s="26"/>
    </row>
    <row r="4" spans="1:5" x14ac:dyDescent="0.25">
      <c r="A4" s="1" t="str">
        <f>Assumptions!A4</f>
        <v>Year</v>
      </c>
      <c r="B4" s="5">
        <f>Assumptions!B4</f>
        <v>2013</v>
      </c>
      <c r="C4" s="5">
        <f>Assumptions!C4</f>
        <v>2014</v>
      </c>
      <c r="D4" s="5">
        <f>Assumptions!D4</f>
        <v>2015</v>
      </c>
      <c r="E4" s="5">
        <f>Assumptions!E4</f>
        <v>2016</v>
      </c>
    </row>
    <row r="5" spans="1:5" x14ac:dyDescent="0.25">
      <c r="A5" s="1" t="str">
        <f>Assumptions!A5</f>
        <v>Days in Year</v>
      </c>
      <c r="B5" s="5">
        <f>Assumptions!B5</f>
        <v>365</v>
      </c>
      <c r="C5" s="5">
        <f>Assumptions!C5</f>
        <v>365</v>
      </c>
      <c r="D5" s="5">
        <f>Assumptions!D5</f>
        <v>365</v>
      </c>
      <c r="E5" s="5">
        <f>Assumptions!E5</f>
        <v>366</v>
      </c>
    </row>
    <row r="6" spans="1:5" x14ac:dyDescent="0.25">
      <c r="A6" s="27" t="s">
        <v>0</v>
      </c>
      <c r="B6" s="27"/>
      <c r="C6" s="27"/>
      <c r="D6" s="27"/>
      <c r="E6" s="27"/>
    </row>
    <row r="7" spans="1:5" x14ac:dyDescent="0.25">
      <c r="A7" s="11" t="s">
        <v>1</v>
      </c>
      <c r="B7" s="16">
        <v>8456879</v>
      </c>
      <c r="C7" s="9">
        <f>B7*(1+Assumptions!C7)</f>
        <v>8710585.370000001</v>
      </c>
      <c r="D7" s="9">
        <f>C7*(1+Assumptions!D7)</f>
        <v>8971902.9311000016</v>
      </c>
      <c r="E7" s="9">
        <f>D7*(1+Assumptions!E7)</f>
        <v>9241060.0190330017</v>
      </c>
    </row>
    <row r="8" spans="1:5" x14ac:dyDescent="0.25">
      <c r="A8" s="11" t="s">
        <v>2</v>
      </c>
      <c r="B8" s="16">
        <v>-2114219.75</v>
      </c>
      <c r="C8" s="9">
        <f>-Assumptions!C8*PL!C7</f>
        <v>-2613175.611</v>
      </c>
      <c r="D8" s="9">
        <f>-Assumptions!D8*PL!D7</f>
        <v>-2691570.8793300004</v>
      </c>
      <c r="E8" s="9">
        <f>-Assumptions!E8*PL!E7</f>
        <v>-2772318.0057099005</v>
      </c>
    </row>
    <row r="9" spans="1:5" x14ac:dyDescent="0.25">
      <c r="A9" s="2" t="s">
        <v>4</v>
      </c>
      <c r="B9" s="17">
        <f>SUBTOTAL(9,B7:B8)</f>
        <v>6342659.25</v>
      </c>
      <c r="C9" s="12">
        <f t="shared" ref="C9:E9" si="0">SUBTOTAL(9,C7:C8)</f>
        <v>6097409.7590000015</v>
      </c>
      <c r="D9" s="12">
        <f t="shared" si="0"/>
        <v>6280332.0517700016</v>
      </c>
      <c r="E9" s="12">
        <f t="shared" si="0"/>
        <v>6468742.0133231012</v>
      </c>
    </row>
    <row r="10" spans="1:5" x14ac:dyDescent="0.25">
      <c r="A10" s="11" t="s">
        <v>5</v>
      </c>
      <c r="B10" s="16">
        <v>507412.74</v>
      </c>
      <c r="C10" s="9">
        <f>Assumptions!C11*PL!C7</f>
        <v>522635.12220000004</v>
      </c>
      <c r="D10" s="9">
        <f>Assumptions!D11*PL!D7</f>
        <v>538314.17586600012</v>
      </c>
      <c r="E10" s="9">
        <f>Assumptions!E11*PL!E7</f>
        <v>554463.60114198003</v>
      </c>
    </row>
    <row r="11" spans="1:5" x14ac:dyDescent="0.25">
      <c r="A11" s="11" t="s">
        <v>3</v>
      </c>
      <c r="B11" s="16">
        <v>-3805595.5500000003</v>
      </c>
      <c r="C11" s="9">
        <f>-Assumptions!C10*PL!C7</f>
        <v>-3919763.4165000007</v>
      </c>
      <c r="D11" s="9">
        <f>-Assumptions!D10*PL!D7</f>
        <v>-4037356.3189950008</v>
      </c>
      <c r="E11" s="9">
        <f>-Assumptions!E10*PL!E7</f>
        <v>-4158477.0085648508</v>
      </c>
    </row>
    <row r="12" spans="1:5" x14ac:dyDescent="0.25">
      <c r="A12" s="11" t="s">
        <v>6</v>
      </c>
      <c r="B12" s="16">
        <v>-500000</v>
      </c>
      <c r="C12" s="9">
        <f>B12*(1+Assumptions!C9)</f>
        <v>-510000</v>
      </c>
      <c r="D12" s="9">
        <f>C12*(1+Assumptions!D9)</f>
        <v>-520200</v>
      </c>
      <c r="E12" s="9">
        <f>D12*(1+Assumptions!E9)</f>
        <v>-530604</v>
      </c>
    </row>
    <row r="13" spans="1:5" x14ac:dyDescent="0.25">
      <c r="A13" s="11" t="s">
        <v>7</v>
      </c>
      <c r="B13" s="16">
        <v>-1268531.8499999999</v>
      </c>
      <c r="C13" s="9">
        <f>-Assumptions!C12*PL!C7</f>
        <v>-1306587.8055</v>
      </c>
      <c r="D13" s="9">
        <f>-Assumptions!D12*PL!D7</f>
        <v>-1345785.4396650002</v>
      </c>
      <c r="E13" s="9">
        <f>-Assumptions!E12*PL!E7</f>
        <v>-1386159.0028549503</v>
      </c>
    </row>
    <row r="14" spans="1:5" x14ac:dyDescent="0.25">
      <c r="A14" s="2" t="s">
        <v>8</v>
      </c>
      <c r="B14" s="17">
        <f>SUBTOTAL(9,B7:B13)</f>
        <v>1275944.5900000001</v>
      </c>
      <c r="C14" s="12">
        <f>SUBTOTAL(9,C7:C13)</f>
        <v>883693.65920000081</v>
      </c>
      <c r="D14" s="12">
        <f>SUBTOTAL(9,D7:D13)</f>
        <v>915304.46897600102</v>
      </c>
      <c r="E14" s="12">
        <f>SUBTOTAL(9,E7:E13)</f>
        <v>947965.60304528009</v>
      </c>
    </row>
    <row r="15" spans="1:5" x14ac:dyDescent="0.25">
      <c r="A15" s="11" t="s">
        <v>9</v>
      </c>
      <c r="B15" s="16">
        <v>-337488.38671250001</v>
      </c>
      <c r="C15" s="9">
        <f>MAX(-BS!B15,-(BS!B15+SUM(Assumptions!$C$14:C14))/Assumptions!C15)</f>
        <v>-309079.66198708332</v>
      </c>
      <c r="D15" s="9">
        <f>MAX(-BS!C15,-(BS!C15+SUM(Assumptions!$C$14:D14))/Assumptions!D15)</f>
        <v>-282171.69578837499</v>
      </c>
      <c r="E15" s="9">
        <f>MAX(-BS!D15,-(BS!D15+SUM(Assumptions!$C$14:E14))/Assumptions!E15)</f>
        <v>-257954.52620953746</v>
      </c>
    </row>
    <row r="16" spans="1:5" x14ac:dyDescent="0.25">
      <c r="A16" s="3" t="s">
        <v>10</v>
      </c>
      <c r="B16" s="18">
        <f>SUBTOTAL(9,B7:B15)</f>
        <v>938456.20328750007</v>
      </c>
      <c r="C16" s="13">
        <f>SUBTOTAL(9,C7:C15)</f>
        <v>574613.99721291754</v>
      </c>
      <c r="D16" s="13">
        <f>SUBTOTAL(9,D7:D15)</f>
        <v>633132.77318762604</v>
      </c>
      <c r="E16" s="13">
        <f>SUBTOTAL(9,E7:E15)</f>
        <v>690011.07683574269</v>
      </c>
    </row>
    <row r="17" spans="1:5" x14ac:dyDescent="0.25">
      <c r="A17" s="11" t="s">
        <v>79</v>
      </c>
      <c r="B17" s="16">
        <v>110000</v>
      </c>
      <c r="C17" s="9">
        <f>Assumptions!C29*BS!B11</f>
        <v>100709.67869039715</v>
      </c>
      <c r="D17" s="9">
        <f>Assumptions!D29*BS!C11</f>
        <v>114894.76883830475</v>
      </c>
      <c r="E17" s="9">
        <f>Assumptions!E29*BS!D11</f>
        <v>135713.52348379305</v>
      </c>
    </row>
    <row r="18" spans="1:5" x14ac:dyDescent="0.25">
      <c r="A18" s="11" t="s">
        <v>11</v>
      </c>
      <c r="B18" s="16">
        <v>-200000</v>
      </c>
      <c r="C18" s="9">
        <f>-Assumptions!C28*((BS!B28+BS!B24+BS!C24+BS!C28)/2)</f>
        <v>-203856.19120331926</v>
      </c>
      <c r="D18" s="9">
        <f>-Assumptions!D28*((BS!C28+BS!C24+BS!D24+BS!D28)/2)</f>
        <v>-199806.19120331926</v>
      </c>
      <c r="E18" s="9">
        <f>-Assumptions!E28*((BS!D28+BS!D24+BS!E24+BS!E28)/2)</f>
        <v>-195756.19120331926</v>
      </c>
    </row>
    <row r="19" spans="1:5" x14ac:dyDescent="0.25">
      <c r="A19" s="3" t="s">
        <v>12</v>
      </c>
      <c r="B19" s="18">
        <f>SUBTOTAL(9,B7:B18)</f>
        <v>848456.20328750007</v>
      </c>
      <c r="C19" s="13">
        <f>SUBTOTAL(9,C7:C18)</f>
        <v>471467.48469999549</v>
      </c>
      <c r="D19" s="13">
        <f>SUBTOTAL(9,D7:D18)</f>
        <v>548221.3508226116</v>
      </c>
      <c r="E19" s="13">
        <f>SUBTOTAL(9,E7:E18)</f>
        <v>629968.40911621647</v>
      </c>
    </row>
    <row r="20" spans="1:5" x14ac:dyDescent="0.25">
      <c r="A20" s="11" t="s">
        <v>13</v>
      </c>
      <c r="B20" s="19">
        <v>-254536.86098624987</v>
      </c>
      <c r="C20" s="9">
        <f>-Assumptions!C13*PL!C19</f>
        <v>-141440.24540999864</v>
      </c>
      <c r="D20" s="9">
        <f>-Assumptions!D13*PL!D19</f>
        <v>-164466.40524678348</v>
      </c>
      <c r="E20" s="9">
        <f>-Assumptions!E13*PL!E19</f>
        <v>-188990.52273486494</v>
      </c>
    </row>
    <row r="21" spans="1:5" ht="13.8" thickBot="1" x14ac:dyDescent="0.3">
      <c r="A21" s="4" t="s">
        <v>14</v>
      </c>
      <c r="B21" s="15">
        <f>SUBTOTAL(9,B7:B20)</f>
        <v>593919.3423012502</v>
      </c>
      <c r="C21" s="10">
        <f>SUBTOTAL(9,C7:C20)</f>
        <v>330027.23928999685</v>
      </c>
      <c r="D21" s="10">
        <f>SUBTOTAL(9,D7:D20)</f>
        <v>383754.94557582808</v>
      </c>
      <c r="E21" s="10">
        <f>SUBTOTAL(9,E7:E20)</f>
        <v>440977.88638135151</v>
      </c>
    </row>
    <row r="22" spans="1:5" ht="13.8" thickTop="1" x14ac:dyDescent="0.25">
      <c r="D22" s="28"/>
      <c r="E22" s="28"/>
    </row>
    <row r="23" spans="1:5" x14ac:dyDescent="0.25">
      <c r="B23" s="28"/>
    </row>
    <row r="24" spans="1:5" hidden="1" x14ac:dyDescent="0.25"/>
    <row r="25" spans="1:5" hidden="1" x14ac:dyDescent="0.25"/>
    <row r="26" spans="1:5" hidden="1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x14ac:dyDescent="0.25"/>
  </sheetData>
  <pageMargins left="0.7" right="0.7" top="0.75" bottom="0.75" header="0.3" footer="0.3"/>
  <pageSetup paperSize="9" orientation="portrait" horizontalDpi="1200" verticalDpi="1200" r:id="rId1"/>
  <customProperties>
    <customPr name="layoutContexts" r:id="rId2"/>
    <customPr name="SaveUndoMod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F43"/>
    </sheetView>
  </sheetViews>
  <sheetFormatPr defaultColWidth="0" defaultRowHeight="13.2" zeroHeight="1" x14ac:dyDescent="0.25"/>
  <cols>
    <col min="1" max="1" width="33.77734375" style="1" bestFit="1" customWidth="1"/>
    <col min="2" max="5" width="13.5546875" style="1" customWidth="1"/>
    <col min="6" max="6" width="3.21875" style="1" customWidth="1"/>
    <col min="7" max="16384" width="8.88671875" style="1" hidden="1"/>
  </cols>
  <sheetData>
    <row r="1" spans="1:6" x14ac:dyDescent="0.25">
      <c r="A1" s="6" t="s">
        <v>82</v>
      </c>
    </row>
    <row r="2" spans="1:6" x14ac:dyDescent="0.25"/>
    <row r="3" spans="1:6" x14ac:dyDescent="0.25">
      <c r="B3" s="23" t="s">
        <v>49</v>
      </c>
      <c r="C3" s="24" t="s">
        <v>50</v>
      </c>
      <c r="D3" s="25"/>
      <c r="E3" s="26"/>
    </row>
    <row r="4" spans="1:6" x14ac:dyDescent="0.25">
      <c r="A4" s="1" t="str">
        <f>Assumptions!A4</f>
        <v>Year</v>
      </c>
      <c r="B4" s="5">
        <f>Assumptions!B4</f>
        <v>2013</v>
      </c>
      <c r="C4" s="5">
        <f>Assumptions!C4</f>
        <v>2014</v>
      </c>
      <c r="D4" s="5">
        <f>Assumptions!D4</f>
        <v>2015</v>
      </c>
      <c r="E4" s="5">
        <f>Assumptions!E4</f>
        <v>2016</v>
      </c>
    </row>
    <row r="5" spans="1:6" x14ac:dyDescent="0.25">
      <c r="A5" s="1" t="str">
        <f>Assumptions!A5</f>
        <v>Days in Year</v>
      </c>
      <c r="B5" s="5">
        <f>Assumptions!B5</f>
        <v>365</v>
      </c>
      <c r="C5" s="5">
        <f>Assumptions!C5</f>
        <v>365</v>
      </c>
      <c r="D5" s="5">
        <f>Assumptions!D5</f>
        <v>365</v>
      </c>
      <c r="E5" s="5">
        <f>Assumptions!E5</f>
        <v>366</v>
      </c>
    </row>
    <row r="6" spans="1:6" x14ac:dyDescent="0.25">
      <c r="A6" s="27" t="s">
        <v>15</v>
      </c>
      <c r="B6" s="27"/>
      <c r="C6" s="27"/>
      <c r="D6" s="27"/>
      <c r="E6" s="27"/>
    </row>
    <row r="7" spans="1:6" x14ac:dyDescent="0.25">
      <c r="A7" s="6" t="s">
        <v>16</v>
      </c>
      <c r="B7" s="9"/>
      <c r="C7" s="9"/>
      <c r="D7" s="9"/>
      <c r="E7" s="9"/>
      <c r="F7" s="9"/>
    </row>
    <row r="8" spans="1:6" x14ac:dyDescent="0.25">
      <c r="A8" s="11" t="s">
        <v>17</v>
      </c>
      <c r="B8" s="16">
        <v>289619.14383561641</v>
      </c>
      <c r="C8" s="9">
        <f>-Assumptions!C17/Assumptions!C5*PL!C8</f>
        <v>357969.26178082189</v>
      </c>
      <c r="D8" s="9">
        <f>-Assumptions!D17/Assumptions!D5*PL!D8</f>
        <v>368708.3396342466</v>
      </c>
      <c r="E8" s="9">
        <f>-Assumptions!E17/Assumptions!E5*PL!E8</f>
        <v>378731.96799315582</v>
      </c>
      <c r="F8" s="9"/>
    </row>
    <row r="9" spans="1:6" x14ac:dyDescent="0.25">
      <c r="A9" s="11" t="s">
        <v>71</v>
      </c>
      <c r="B9" s="16">
        <v>695085.94520547939</v>
      </c>
      <c r="C9" s="9">
        <f>Assumptions!C16/Assumptions!C5*PL!C7</f>
        <v>715938.5235616439</v>
      </c>
      <c r="D9" s="9">
        <f>Assumptions!D16/Assumptions!D5*PL!D7</f>
        <v>737416.6792684932</v>
      </c>
      <c r="E9" s="9">
        <f>Assumptions!E16/Assumptions!E5*PL!E7</f>
        <v>757463.93598631152</v>
      </c>
      <c r="F9" s="9"/>
    </row>
    <row r="10" spans="1:6" x14ac:dyDescent="0.25">
      <c r="A10" s="11" t="s">
        <v>18</v>
      </c>
      <c r="B10" s="16">
        <v>224877.5189593058</v>
      </c>
      <c r="C10" s="9">
        <f>Assumptions!C19*PL!C7</f>
        <v>231623.844528085</v>
      </c>
      <c r="D10" s="9">
        <f>Assumptions!D19*PL!D7</f>
        <v>238572.55986392757</v>
      </c>
      <c r="E10" s="9">
        <f>Assumptions!E19*PL!E7</f>
        <v>245729.7366598454</v>
      </c>
      <c r="F10" s="9"/>
    </row>
    <row r="11" spans="1:6" x14ac:dyDescent="0.25">
      <c r="A11" s="11" t="s">
        <v>19</v>
      </c>
      <c r="B11" s="16">
        <v>2877419.391154204</v>
      </c>
      <c r="C11" s="9">
        <f>'CF - Indirect'!C35</f>
        <v>3282707.6810944211</v>
      </c>
      <c r="D11" s="9">
        <f>'CF - Indirect'!D35</f>
        <v>3877529.2423940869</v>
      </c>
      <c r="E11" s="9">
        <f>'CF - Indirect'!E35</f>
        <v>4457790.7903028848</v>
      </c>
      <c r="F11" s="9"/>
    </row>
    <row r="12" spans="1:6" x14ac:dyDescent="0.25">
      <c r="A12" s="20" t="s">
        <v>20</v>
      </c>
      <c r="B12" s="29">
        <f>SUBTOTAL(9,B8:B11)</f>
        <v>4087001.9991546059</v>
      </c>
      <c r="C12" s="30">
        <f>SUBTOTAL(9,C8:C11)</f>
        <v>4588239.3109649718</v>
      </c>
      <c r="D12" s="30">
        <f>SUBTOTAL(9,D8:D11)</f>
        <v>5222226.8211607542</v>
      </c>
      <c r="E12" s="30">
        <f>SUBTOTAL(9,E8:E11)</f>
        <v>5839716.4309421973</v>
      </c>
      <c r="F12" s="9"/>
    </row>
    <row r="13" spans="1:6" x14ac:dyDescent="0.25">
      <c r="B13" s="19"/>
      <c r="C13" s="9"/>
      <c r="D13" s="9"/>
      <c r="E13" s="9"/>
      <c r="F13" s="9"/>
    </row>
    <row r="14" spans="1:6" x14ac:dyDescent="0.25">
      <c r="A14" s="6" t="s">
        <v>21</v>
      </c>
      <c r="B14" s="16"/>
      <c r="C14" s="9"/>
      <c r="D14" s="9"/>
      <c r="E14" s="9"/>
      <c r="F14" s="9"/>
    </row>
    <row r="15" spans="1:6" x14ac:dyDescent="0.25">
      <c r="A15" s="44" t="s">
        <v>22</v>
      </c>
      <c r="B15" s="16">
        <v>3070796.6198708331</v>
      </c>
      <c r="C15" s="9">
        <f>(B15+Assumptions!C14)+PL!C15</f>
        <v>2781716.9578837496</v>
      </c>
      <c r="D15" s="9">
        <f>(C15+Assumptions!D14)+PL!D15</f>
        <v>2519545.2620953745</v>
      </c>
      <c r="E15" s="9">
        <f>(D15+Assumptions!E14)+PL!E15</f>
        <v>2281590.7358858371</v>
      </c>
      <c r="F15" s="9"/>
    </row>
    <row r="16" spans="1:6" x14ac:dyDescent="0.25">
      <c r="A16" s="20" t="s">
        <v>23</v>
      </c>
      <c r="B16" s="29">
        <f>SUBTOTAL(9,B15)</f>
        <v>3070796.6198708331</v>
      </c>
      <c r="C16" s="30">
        <f t="shared" ref="C16:E16" si="0">SUBTOTAL(9,C15)</f>
        <v>2781716.9578837496</v>
      </c>
      <c r="D16" s="30">
        <f t="shared" si="0"/>
        <v>2519545.2620953745</v>
      </c>
      <c r="E16" s="30">
        <f t="shared" si="0"/>
        <v>2281590.7358858371</v>
      </c>
      <c r="F16" s="9"/>
    </row>
    <row r="17" spans="1:6" x14ac:dyDescent="0.25">
      <c r="B17" s="16"/>
      <c r="C17" s="9"/>
      <c r="D17" s="9"/>
      <c r="E17" s="9"/>
      <c r="F17" s="9"/>
    </row>
    <row r="18" spans="1:6" x14ac:dyDescent="0.25">
      <c r="A18" s="20" t="s">
        <v>24</v>
      </c>
      <c r="B18" s="29">
        <f>SUBTOTAL(9,B8:B16)</f>
        <v>7157798.619025439</v>
      </c>
      <c r="C18" s="30">
        <f>SUBTOTAL(9,C8:C16)</f>
        <v>7369956.2688487209</v>
      </c>
      <c r="D18" s="30">
        <f>SUBTOTAL(9,D8:D16)</f>
        <v>7741772.0832561292</v>
      </c>
      <c r="E18" s="30">
        <f>SUBTOTAL(9,E8:E16)</f>
        <v>8121307.1668280344</v>
      </c>
      <c r="F18" s="9"/>
    </row>
    <row r="19" spans="1:6" x14ac:dyDescent="0.25">
      <c r="B19" s="16"/>
      <c r="C19" s="9"/>
      <c r="D19" s="9"/>
      <c r="E19" s="9"/>
      <c r="F19" s="9"/>
    </row>
    <row r="20" spans="1:6" x14ac:dyDescent="0.25">
      <c r="A20" s="6" t="s">
        <v>25</v>
      </c>
      <c r="B20" s="16"/>
      <c r="C20" s="9"/>
      <c r="D20" s="9"/>
      <c r="E20" s="9"/>
      <c r="F20" s="9"/>
    </row>
    <row r="21" spans="1:6" x14ac:dyDescent="0.25">
      <c r="A21" s="11" t="s">
        <v>72</v>
      </c>
      <c r="B21" s="16">
        <v>405466.80136986298</v>
      </c>
      <c r="C21" s="9">
        <f>-Assumptions!C18/Assumptions!C5*PL!C8</f>
        <v>501156.96649315068</v>
      </c>
      <c r="D21" s="9">
        <f>-Assumptions!D18/Assumptions!D5*PL!D8</f>
        <v>516191.67548794526</v>
      </c>
      <c r="E21" s="9">
        <f>-Assumptions!E18/Assumptions!E5*PL!E8</f>
        <v>530224.7551904181</v>
      </c>
      <c r="F21" s="9"/>
    </row>
    <row r="22" spans="1:6" x14ac:dyDescent="0.25">
      <c r="A22" s="11" t="s">
        <v>26</v>
      </c>
      <c r="B22" s="16">
        <v>40000</v>
      </c>
      <c r="C22" s="9">
        <f>B22</f>
        <v>40000</v>
      </c>
      <c r="D22" s="9">
        <f t="shared" ref="D22:E22" si="1">C22</f>
        <v>40000</v>
      </c>
      <c r="E22" s="9">
        <f t="shared" si="1"/>
        <v>40000</v>
      </c>
      <c r="F22" s="9"/>
    </row>
    <row r="23" spans="1:6" x14ac:dyDescent="0.25">
      <c r="A23" s="11" t="s">
        <v>76</v>
      </c>
      <c r="B23" s="16">
        <v>255000</v>
      </c>
      <c r="C23" s="9">
        <f>B23+'CF - Indirect'!C21-PL!C20</f>
        <v>141440.24540999864</v>
      </c>
      <c r="D23" s="9">
        <f>C23+'CF - Indirect'!D21-PL!D20</f>
        <v>164466.40524678348</v>
      </c>
      <c r="E23" s="9">
        <f>D23+'CF - Indirect'!E21-PL!E20</f>
        <v>188990.52273486494</v>
      </c>
      <c r="F23" s="9"/>
    </row>
    <row r="24" spans="1:6" x14ac:dyDescent="0.25">
      <c r="A24" s="11" t="s">
        <v>80</v>
      </c>
      <c r="B24" s="16">
        <v>100000</v>
      </c>
      <c r="C24" s="9">
        <f>MIN(B28,Assumptions!C25)</f>
        <v>100000</v>
      </c>
      <c r="D24" s="9">
        <f>MIN(C28,Assumptions!D25)</f>
        <v>100000</v>
      </c>
      <c r="E24" s="9">
        <f>MIN(D28,Assumptions!E25)</f>
        <v>100000</v>
      </c>
      <c r="F24" s="9"/>
    </row>
    <row r="25" spans="1:6" x14ac:dyDescent="0.25">
      <c r="A25" s="20" t="s">
        <v>27</v>
      </c>
      <c r="B25" s="29">
        <f>SUBTOTAL(9,B21:B24)</f>
        <v>800466.80136986298</v>
      </c>
      <c r="C25" s="30">
        <f t="shared" ref="C25:E25" si="2">SUBTOTAL(9,C21:C24)</f>
        <v>782597.21190314926</v>
      </c>
      <c r="D25" s="30">
        <f t="shared" si="2"/>
        <v>820658.08073472884</v>
      </c>
      <c r="E25" s="30">
        <f t="shared" si="2"/>
        <v>859215.27792528307</v>
      </c>
      <c r="F25" s="9"/>
    </row>
    <row r="26" spans="1:6" x14ac:dyDescent="0.25">
      <c r="B26" s="16"/>
      <c r="C26" s="9"/>
      <c r="D26" s="9"/>
      <c r="E26" s="9"/>
      <c r="F26" s="9"/>
    </row>
    <row r="27" spans="1:6" x14ac:dyDescent="0.25">
      <c r="A27" s="6" t="s">
        <v>28</v>
      </c>
      <c r="B27" s="16"/>
      <c r="C27" s="9"/>
      <c r="D27" s="9"/>
      <c r="E27" s="9"/>
      <c r="F27" s="9"/>
    </row>
    <row r="28" spans="1:6" x14ac:dyDescent="0.25">
      <c r="A28" s="11" t="s">
        <v>80</v>
      </c>
      <c r="B28" s="16">
        <v>3725114.6519133197</v>
      </c>
      <c r="C28" s="9">
        <f>B28-C24+'CF - Indirect'!C28</f>
        <v>3625114.6519133197</v>
      </c>
      <c r="D28" s="9">
        <f>C28-D24+'CF - Indirect'!D28</f>
        <v>3575114.6519133197</v>
      </c>
      <c r="E28" s="9">
        <f>D28-E24+'CF - Indirect'!E28</f>
        <v>3475114.6519133197</v>
      </c>
      <c r="F28" s="9"/>
    </row>
    <row r="29" spans="1:6" x14ac:dyDescent="0.25">
      <c r="A29" s="20" t="s">
        <v>29</v>
      </c>
      <c r="B29" s="29">
        <f>SUBTOTAL(9,B28:B28)</f>
        <v>3725114.6519133197</v>
      </c>
      <c r="C29" s="30">
        <f>SUBTOTAL(9,C28:C28)</f>
        <v>3625114.6519133197</v>
      </c>
      <c r="D29" s="30">
        <f>SUBTOTAL(9,D28:D28)</f>
        <v>3575114.6519133197</v>
      </c>
      <c r="E29" s="30">
        <f>SUBTOTAL(9,E28:E28)</f>
        <v>3475114.6519133197</v>
      </c>
      <c r="F29" s="9"/>
    </row>
    <row r="30" spans="1:6" x14ac:dyDescent="0.25">
      <c r="B30" s="16"/>
      <c r="C30" s="9"/>
      <c r="D30" s="9"/>
      <c r="E30" s="9"/>
      <c r="F30" s="9"/>
    </row>
    <row r="31" spans="1:6" x14ac:dyDescent="0.25">
      <c r="A31" s="20" t="s">
        <v>30</v>
      </c>
      <c r="B31" s="29">
        <f>SUBTOTAL(9,B21:B29)</f>
        <v>4525581.4532831823</v>
      </c>
      <c r="C31" s="30">
        <f>SUBTOTAL(9,C21:C29)</f>
        <v>4407711.863816469</v>
      </c>
      <c r="D31" s="30">
        <f>SUBTOTAL(9,D21:D29)</f>
        <v>4395772.7326480485</v>
      </c>
      <c r="E31" s="30">
        <f>SUBTOTAL(9,E21:E29)</f>
        <v>4334329.9298386024</v>
      </c>
      <c r="F31" s="9"/>
    </row>
    <row r="32" spans="1:6" x14ac:dyDescent="0.25">
      <c r="B32" s="16"/>
      <c r="C32" s="9"/>
      <c r="D32" s="9"/>
      <c r="E32" s="9"/>
      <c r="F32" s="9"/>
    </row>
    <row r="33" spans="1:6" ht="13.8" thickBot="1" x14ac:dyDescent="0.3">
      <c r="A33" s="4" t="s">
        <v>31</v>
      </c>
      <c r="B33" s="15">
        <f>B18-B31</f>
        <v>2632217.1657422567</v>
      </c>
      <c r="C33" s="10">
        <f>C18-C31</f>
        <v>2962244.405032252</v>
      </c>
      <c r="D33" s="10">
        <f>D18-D31</f>
        <v>3345999.3506080806</v>
      </c>
      <c r="E33" s="10">
        <f>E18-E31</f>
        <v>3786977.236989432</v>
      </c>
      <c r="F33" s="9"/>
    </row>
    <row r="34" spans="1:6" ht="13.8" thickTop="1" x14ac:dyDescent="0.25">
      <c r="B34" s="16"/>
      <c r="C34" s="9"/>
      <c r="D34" s="9"/>
      <c r="E34" s="9"/>
      <c r="F34" s="9"/>
    </row>
    <row r="35" spans="1:6" x14ac:dyDescent="0.25">
      <c r="A35" s="6" t="s">
        <v>32</v>
      </c>
      <c r="B35" s="16"/>
      <c r="C35" s="9"/>
      <c r="D35" s="9"/>
      <c r="E35" s="9"/>
      <c r="F35" s="9"/>
    </row>
    <row r="36" spans="1:6" x14ac:dyDescent="0.25">
      <c r="A36" s="11" t="s">
        <v>33</v>
      </c>
      <c r="B36" s="16">
        <v>788002</v>
      </c>
      <c r="C36" s="9">
        <f>B36+Assumptions!C26</f>
        <v>788002</v>
      </c>
      <c r="D36" s="9">
        <f>C36+Assumptions!D26</f>
        <v>788002</v>
      </c>
      <c r="E36" s="9">
        <f>D36+Assumptions!E26</f>
        <v>788002</v>
      </c>
      <c r="F36" s="9"/>
    </row>
    <row r="37" spans="1:6" x14ac:dyDescent="0.25">
      <c r="A37" s="11" t="s">
        <v>75</v>
      </c>
      <c r="B37" s="16">
        <v>1250295.82344101</v>
      </c>
      <c r="C37" s="9">
        <f>SUM(B37:B38)</f>
        <v>1844215.1657422602</v>
      </c>
      <c r="D37" s="9">
        <f t="shared" ref="D37:E37" si="3">SUM(C37:C38)</f>
        <v>2174242.4050322571</v>
      </c>
      <c r="E37" s="9">
        <f t="shared" si="3"/>
        <v>2557997.3506080853</v>
      </c>
      <c r="F37" s="9"/>
    </row>
    <row r="38" spans="1:6" x14ac:dyDescent="0.25">
      <c r="A38" s="11" t="s">
        <v>34</v>
      </c>
      <c r="B38" s="16">
        <v>593919.3423012502</v>
      </c>
      <c r="C38" s="9">
        <f>PL!C21</f>
        <v>330027.23928999685</v>
      </c>
      <c r="D38" s="9">
        <f>PL!D21</f>
        <v>383754.94557582808</v>
      </c>
      <c r="E38" s="9">
        <f>PL!E21</f>
        <v>440977.88638135151</v>
      </c>
      <c r="F38" s="9"/>
    </row>
    <row r="39" spans="1:6" ht="13.8" thickBot="1" x14ac:dyDescent="0.3">
      <c r="A39" s="4" t="s">
        <v>35</v>
      </c>
      <c r="B39" s="15">
        <f>SUBTOTAL(9,B36:B38)</f>
        <v>2632217.1657422604</v>
      </c>
      <c r="C39" s="10">
        <f t="shared" ref="C39:E39" si="4">SUBTOTAL(9,C36:C38)</f>
        <v>2962244.4050322571</v>
      </c>
      <c r="D39" s="10">
        <f t="shared" si="4"/>
        <v>3345999.3506080853</v>
      </c>
      <c r="E39" s="10">
        <f t="shared" si="4"/>
        <v>3786977.2369894367</v>
      </c>
      <c r="F39" s="9"/>
    </row>
    <row r="40" spans="1:6" ht="13.8" thickTop="1" x14ac:dyDescent="0.25">
      <c r="B40" s="16"/>
      <c r="C40" s="9"/>
      <c r="D40" s="9"/>
      <c r="E40" s="9"/>
      <c r="F40" s="9"/>
    </row>
    <row r="41" spans="1:6" x14ac:dyDescent="0.25">
      <c r="A41" s="1" t="s">
        <v>67</v>
      </c>
      <c r="F41" s="9"/>
    </row>
    <row r="42" spans="1:6" x14ac:dyDescent="0.25">
      <c r="A42" s="9" t="str">
        <f>IF(COUNTA(B42:E42)=COUNTIF(B42:E42,"OK"),"OK","ERR")</f>
        <v>OK</v>
      </c>
      <c r="B42" s="9" t="str">
        <f>IF(ABS(B39-B33)&lt;0.1,"OK","ERR")</f>
        <v>OK</v>
      </c>
      <c r="C42" s="9" t="str">
        <f>IF(ABS(C39-C33)&lt;0.1,"OK","ERR")</f>
        <v>OK</v>
      </c>
      <c r="D42" s="9" t="str">
        <f>IF(ABS(D39-D33)&lt;0.1,"OK","ERR")</f>
        <v>OK</v>
      </c>
      <c r="E42" s="9" t="str">
        <f>IF(ABS(E39-E33)&lt;0.1,"OK","ERR")</f>
        <v>OK</v>
      </c>
      <c r="F42" s="9"/>
    </row>
    <row r="43" spans="1:6" x14ac:dyDescent="0.25">
      <c r="D43" s="9"/>
    </row>
  </sheetData>
  <conditionalFormatting sqref="A42:E42">
    <cfRule type="cellIs" dxfId="7" priority="1" operator="equal">
      <formula>"ERR"</formula>
    </cfRule>
    <cfRule type="cellIs" dxfId="6" priority="2" operator="equal">
      <formula>"OK"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layoutContexts" r:id="rId2"/>
    <customPr name="SaveUndoMode" r:id="rId3"/>
    <customPr name="screen" r:id="rId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workbookViewId="0">
      <pane xSplit="1" ySplit="5" topLeftCell="B18" activePane="bottomRight" state="frozen"/>
      <selection pane="topRight" activeCell="B1" sqref="B1"/>
      <selection pane="bottomLeft" activeCell="A6" sqref="A6"/>
      <selection pane="bottomRight" sqref="A1:F40"/>
    </sheetView>
  </sheetViews>
  <sheetFormatPr defaultColWidth="0" defaultRowHeight="0" customHeight="1" zeroHeight="1" x14ac:dyDescent="0.25"/>
  <cols>
    <col min="1" max="1" width="28" style="1" bestFit="1" customWidth="1"/>
    <col min="2" max="5" width="12.77734375" style="9" customWidth="1"/>
    <col min="6" max="6" width="3.6640625" style="1" customWidth="1"/>
    <col min="7" max="16384" width="8.88671875" style="1" hidden="1"/>
  </cols>
  <sheetData>
    <row r="1" spans="1:5" ht="13.2" x14ac:dyDescent="0.25">
      <c r="A1" s="6" t="s">
        <v>84</v>
      </c>
      <c r="B1" s="1"/>
      <c r="C1" s="1"/>
      <c r="D1" s="1"/>
      <c r="E1" s="1"/>
    </row>
    <row r="2" spans="1:5" ht="13.2" x14ac:dyDescent="0.25">
      <c r="B2" s="1"/>
      <c r="C2" s="1"/>
      <c r="D2" s="1"/>
      <c r="E2" s="1"/>
    </row>
    <row r="3" spans="1:5" ht="13.2" x14ac:dyDescent="0.25">
      <c r="B3" s="23" t="s">
        <v>49</v>
      </c>
      <c r="C3" s="24" t="s">
        <v>50</v>
      </c>
      <c r="D3" s="25"/>
      <c r="E3" s="26"/>
    </row>
    <row r="4" spans="1:5" ht="13.2" x14ac:dyDescent="0.25">
      <c r="A4" s="1" t="str">
        <f>Assumptions!A4</f>
        <v>Year</v>
      </c>
      <c r="B4" s="5">
        <f>Assumptions!B4</f>
        <v>2013</v>
      </c>
      <c r="C4" s="5">
        <f>Assumptions!C4</f>
        <v>2014</v>
      </c>
      <c r="D4" s="5">
        <f>Assumptions!D4</f>
        <v>2015</v>
      </c>
      <c r="E4" s="5">
        <f>Assumptions!E4</f>
        <v>2016</v>
      </c>
    </row>
    <row r="5" spans="1:5" ht="13.2" x14ac:dyDescent="0.25">
      <c r="A5" s="1" t="str">
        <f>Assumptions!A5</f>
        <v>Days in Year</v>
      </c>
      <c r="B5" s="5">
        <f>Assumptions!B5</f>
        <v>365</v>
      </c>
      <c r="C5" s="5">
        <f>Assumptions!C5</f>
        <v>365</v>
      </c>
      <c r="D5" s="5">
        <f>Assumptions!D5</f>
        <v>365</v>
      </c>
      <c r="E5" s="5">
        <f>Assumptions!E5</f>
        <v>366</v>
      </c>
    </row>
    <row r="6" spans="1:5" ht="13.2" x14ac:dyDescent="0.25">
      <c r="A6" s="27" t="s">
        <v>36</v>
      </c>
      <c r="B6" s="27"/>
      <c r="C6" s="27"/>
      <c r="D6" s="27"/>
      <c r="E6" s="27"/>
    </row>
    <row r="7" spans="1:5" ht="13.2" x14ac:dyDescent="0.25">
      <c r="A7" s="6" t="s">
        <v>37</v>
      </c>
    </row>
    <row r="8" spans="1:5" ht="13.2" x14ac:dyDescent="0.25">
      <c r="A8" s="11" t="s">
        <v>100</v>
      </c>
      <c r="C8" s="9">
        <f>PL!C7</f>
        <v>8710585.370000001</v>
      </c>
      <c r="D8" s="9">
        <f>PL!D7</f>
        <v>8971902.9311000016</v>
      </c>
      <c r="E8" s="9">
        <f>PL!E7</f>
        <v>9241060.0190330017</v>
      </c>
    </row>
    <row r="9" spans="1:5" ht="13.2" x14ac:dyDescent="0.25">
      <c r="A9" s="11" t="s">
        <v>5</v>
      </c>
      <c r="C9" s="9">
        <f>PL!C10</f>
        <v>522635.12220000004</v>
      </c>
      <c r="D9" s="9">
        <f>PL!D10</f>
        <v>538314.17586600012</v>
      </c>
      <c r="E9" s="9">
        <f>PL!E10</f>
        <v>554463.60114198003</v>
      </c>
    </row>
    <row r="10" spans="1:5" ht="13.2" x14ac:dyDescent="0.25">
      <c r="A10" s="11" t="s">
        <v>71</v>
      </c>
      <c r="C10" s="9">
        <f>BS!B9-BS!C9</f>
        <v>-20852.578356164508</v>
      </c>
      <c r="D10" s="9">
        <f>BS!C9-BS!D9</f>
        <v>-21478.155706849298</v>
      </c>
      <c r="E10" s="9">
        <f>BS!D9-BS!E9</f>
        <v>-20047.256717818324</v>
      </c>
    </row>
    <row r="11" spans="1:5" ht="13.2" x14ac:dyDescent="0.25">
      <c r="A11" s="11" t="s">
        <v>18</v>
      </c>
      <c r="C11" s="9">
        <f>BS!B10-BS!C10</f>
        <v>-6746.3255687791971</v>
      </c>
      <c r="D11" s="9">
        <f>BS!C10-BS!D10</f>
        <v>-6948.7153358425712</v>
      </c>
      <c r="E11" s="9">
        <f>BS!D10-BS!E10</f>
        <v>-7157.1767959178251</v>
      </c>
    </row>
    <row r="12" spans="1:5" ht="13.2" x14ac:dyDescent="0.25">
      <c r="A12" s="14" t="s">
        <v>102</v>
      </c>
      <c r="B12" s="31"/>
      <c r="C12" s="31">
        <f>SUBTOTAL(9,C8:C11)</f>
        <v>9205621.5882750582</v>
      </c>
      <c r="D12" s="31">
        <f t="shared" ref="D12:E12" si="0">SUBTOTAL(9,D8:D11)</f>
        <v>9481790.2359233107</v>
      </c>
      <c r="E12" s="31">
        <f t="shared" si="0"/>
        <v>9768319.1866612453</v>
      </c>
    </row>
    <row r="13" spans="1:5" ht="13.2" x14ac:dyDescent="0.25">
      <c r="A13" s="11" t="s">
        <v>3</v>
      </c>
      <c r="C13" s="9">
        <f>PL!C11</f>
        <v>-3919763.4165000007</v>
      </c>
      <c r="D13" s="9">
        <f>PL!D11</f>
        <v>-4037356.3189950008</v>
      </c>
      <c r="E13" s="9">
        <f>PL!E11</f>
        <v>-4158477.0085648508</v>
      </c>
    </row>
    <row r="14" spans="1:5" ht="13.2" x14ac:dyDescent="0.25">
      <c r="A14" s="11" t="s">
        <v>6</v>
      </c>
      <c r="C14" s="9">
        <f>PL!C12</f>
        <v>-510000</v>
      </c>
      <c r="D14" s="9">
        <f>PL!D12</f>
        <v>-520200</v>
      </c>
      <c r="E14" s="9">
        <f>PL!E12</f>
        <v>-530604</v>
      </c>
    </row>
    <row r="15" spans="1:5" ht="13.2" x14ac:dyDescent="0.25">
      <c r="A15" s="11" t="s">
        <v>7</v>
      </c>
      <c r="C15" s="9">
        <f>PL!C13</f>
        <v>-1306587.8055</v>
      </c>
      <c r="D15" s="9">
        <f>PL!D13</f>
        <v>-1345785.4396650002</v>
      </c>
      <c r="E15" s="9">
        <f>PL!E13</f>
        <v>-1386159.0028549503</v>
      </c>
    </row>
    <row r="16" spans="1:5" ht="13.2" x14ac:dyDescent="0.25">
      <c r="A16" s="11" t="s">
        <v>101</v>
      </c>
      <c r="C16" s="9">
        <f>PL!C8</f>
        <v>-2613175.611</v>
      </c>
      <c r="D16" s="9">
        <f>PL!D8</f>
        <v>-2691570.8793300004</v>
      </c>
      <c r="E16" s="9">
        <f>PL!E8</f>
        <v>-2772318.0057099005</v>
      </c>
    </row>
    <row r="17" spans="1:6" ht="13.2" x14ac:dyDescent="0.25">
      <c r="A17" s="11" t="s">
        <v>17</v>
      </c>
      <c r="C17" s="9">
        <f>BS!B8-BS!C8</f>
        <v>-68350.117945205478</v>
      </c>
      <c r="D17" s="9">
        <f>BS!C8-BS!D8</f>
        <v>-10739.077853424707</v>
      </c>
      <c r="E17" s="9">
        <f>BS!D8-BS!E8</f>
        <v>-10023.62835890922</v>
      </c>
    </row>
    <row r="18" spans="1:6" ht="13.2" x14ac:dyDescent="0.25">
      <c r="A18" s="11" t="s">
        <v>72</v>
      </c>
      <c r="C18" s="9">
        <f>BS!C21-BS!B21</f>
        <v>95690.165123287705</v>
      </c>
      <c r="D18" s="9">
        <f>BS!D21-BS!C21</f>
        <v>15034.708994794579</v>
      </c>
      <c r="E18" s="9">
        <f>BS!E21-BS!D21</f>
        <v>14033.079702472838</v>
      </c>
    </row>
    <row r="19" spans="1:6" ht="13.2" x14ac:dyDescent="0.25">
      <c r="A19" s="11" t="s">
        <v>26</v>
      </c>
      <c r="C19" s="9">
        <f>BS!C22-BS!B22</f>
        <v>0</v>
      </c>
      <c r="D19" s="9">
        <f>BS!D22-BS!C22</f>
        <v>0</v>
      </c>
      <c r="E19" s="9">
        <f>BS!E22-BS!D22</f>
        <v>0</v>
      </c>
    </row>
    <row r="20" spans="1:6" ht="13.2" x14ac:dyDescent="0.25">
      <c r="A20" s="14" t="s">
        <v>86</v>
      </c>
      <c r="B20" s="31"/>
      <c r="C20" s="31">
        <f>SUBTOTAL(9,C13:C19)</f>
        <v>-8322186.7858219184</v>
      </c>
      <c r="D20" s="31">
        <f t="shared" ref="D20:E20" si="1">SUBTOTAL(9,D13:D19)</f>
        <v>-8590617.0068486314</v>
      </c>
      <c r="E20" s="31">
        <f t="shared" si="1"/>
        <v>-8843548.5657861382</v>
      </c>
    </row>
    <row r="21" spans="1:6" ht="13.2" x14ac:dyDescent="0.25">
      <c r="A21" s="21" t="s">
        <v>41</v>
      </c>
      <c r="B21" s="13"/>
      <c r="C21" s="9">
        <f>SUM(PL!C17:C18)</f>
        <v>-103146.51251292211</v>
      </c>
      <c r="D21" s="9">
        <f>SUM(PL!D17:D18)</f>
        <v>-84911.422365014514</v>
      </c>
      <c r="E21" s="9">
        <f>SUM(PL!E17:E18)</f>
        <v>-60042.667719526216</v>
      </c>
    </row>
    <row r="22" spans="1:6" ht="13.2" x14ac:dyDescent="0.25">
      <c r="A22" s="11" t="s">
        <v>85</v>
      </c>
      <c r="C22" s="9">
        <f>-BS!B23</f>
        <v>-255000</v>
      </c>
      <c r="D22" s="9">
        <f>-BS!C23</f>
        <v>-141440.24540999864</v>
      </c>
      <c r="E22" s="9">
        <f>-BS!D23</f>
        <v>-164466.40524678348</v>
      </c>
    </row>
    <row r="23" spans="1:6" ht="13.2" x14ac:dyDescent="0.25">
      <c r="A23" s="2" t="s">
        <v>38</v>
      </c>
      <c r="B23" s="12"/>
      <c r="C23" s="12">
        <f>SUBTOTAL(9,C8:C22)</f>
        <v>525288.28994021821</v>
      </c>
      <c r="D23" s="12">
        <f t="shared" ref="D23:E23" si="2">SUBTOTAL(9,D8:D22)</f>
        <v>664821.5612996663</v>
      </c>
      <c r="E23" s="12">
        <f t="shared" si="2"/>
        <v>700261.54790879809</v>
      </c>
      <c r="F23" s="32"/>
    </row>
    <row r="24" spans="1:6" ht="13.2" x14ac:dyDescent="0.25"/>
    <row r="25" spans="1:6" ht="13.2" x14ac:dyDescent="0.25">
      <c r="A25" s="7" t="s">
        <v>39</v>
      </c>
    </row>
    <row r="26" spans="1:6" ht="13.2" x14ac:dyDescent="0.25">
      <c r="A26" s="11" t="s">
        <v>70</v>
      </c>
      <c r="C26" s="9">
        <f>-Assumptions!C14</f>
        <v>-20000</v>
      </c>
      <c r="D26" s="9">
        <f>-Assumptions!D14</f>
        <v>-20000</v>
      </c>
      <c r="E26" s="9">
        <f>-Assumptions!E14</f>
        <v>-20000</v>
      </c>
    </row>
    <row r="27" spans="1:6" ht="13.2" x14ac:dyDescent="0.25"/>
    <row r="28" spans="1:6" ht="13.2" x14ac:dyDescent="0.25">
      <c r="A28" s="6" t="s">
        <v>40</v>
      </c>
    </row>
    <row r="29" spans="1:6" ht="13.2" x14ac:dyDescent="0.25">
      <c r="A29" s="21" t="s">
        <v>77</v>
      </c>
      <c r="C29" s="9">
        <f>Assumptions!C27</f>
        <v>0</v>
      </c>
      <c r="D29" s="9">
        <f>Assumptions!D27</f>
        <v>50000</v>
      </c>
      <c r="E29" s="9">
        <f>Assumptions!E27</f>
        <v>0</v>
      </c>
    </row>
    <row r="30" spans="1:6" ht="13.2" x14ac:dyDescent="0.25">
      <c r="A30" s="11" t="s">
        <v>78</v>
      </c>
      <c r="C30" s="9">
        <f>-Assumptions!C25</f>
        <v>-100000</v>
      </c>
      <c r="D30" s="9">
        <f>-Assumptions!D25</f>
        <v>-100000</v>
      </c>
      <c r="E30" s="9">
        <f>-Assumptions!E25</f>
        <v>-100000</v>
      </c>
    </row>
    <row r="31" spans="1:6" ht="13.2" x14ac:dyDescent="0.25">
      <c r="A31" s="2" t="s">
        <v>42</v>
      </c>
      <c r="B31" s="12"/>
      <c r="C31" s="12">
        <f>SUBTOTAL(9,C29:C30)</f>
        <v>-100000</v>
      </c>
      <c r="D31" s="12">
        <f t="shared" ref="D31:E31" si="3">SUBTOTAL(9,D29:D30)</f>
        <v>-50000</v>
      </c>
      <c r="E31" s="12">
        <f t="shared" si="3"/>
        <v>-100000</v>
      </c>
    </row>
    <row r="32" spans="1:6" ht="13.2" x14ac:dyDescent="0.25"/>
    <row r="33" spans="1:5" ht="13.8" thickBot="1" x14ac:dyDescent="0.3">
      <c r="A33" s="4" t="s">
        <v>43</v>
      </c>
      <c r="B33" s="10"/>
      <c r="C33" s="10">
        <f>SUBTOTAL(9,C8:C31)</f>
        <v>405288.28994021821</v>
      </c>
      <c r="D33" s="10">
        <f>SUBTOTAL(9,D8:D31)</f>
        <v>594821.5612996663</v>
      </c>
      <c r="E33" s="10">
        <f>SUBTOTAL(9,E8:E31)</f>
        <v>580261.54790879809</v>
      </c>
    </row>
    <row r="34" spans="1:5" ht="13.8" thickTop="1" x14ac:dyDescent="0.25"/>
    <row r="35" spans="1:5" ht="13.2" x14ac:dyDescent="0.25">
      <c r="A35" s="8" t="s">
        <v>89</v>
      </c>
      <c r="C35" s="9">
        <f>BS!B11</f>
        <v>2877419.391154204</v>
      </c>
      <c r="D35" s="9">
        <f>C36</f>
        <v>3282707.681094422</v>
      </c>
      <c r="E35" s="9">
        <f>D36</f>
        <v>3877529.2423940883</v>
      </c>
    </row>
    <row r="36" spans="1:5" ht="13.2" x14ac:dyDescent="0.25">
      <c r="A36" s="7" t="s">
        <v>88</v>
      </c>
      <c r="B36" s="33"/>
      <c r="C36" s="33">
        <f>SUBTOTAL(9,C8:C35)</f>
        <v>3282707.681094422</v>
      </c>
      <c r="D36" s="33">
        <f t="shared" ref="D36:E36" si="4">SUBTOTAL(9,D8:D35)</f>
        <v>3877529.2423940883</v>
      </c>
      <c r="E36" s="33">
        <f t="shared" si="4"/>
        <v>4457790.7903028866</v>
      </c>
    </row>
    <row r="37" spans="1:5" ht="13.2" x14ac:dyDescent="0.25">
      <c r="A37" s="7"/>
      <c r="B37" s="33"/>
      <c r="C37" s="33"/>
      <c r="D37" s="33"/>
      <c r="E37" s="33"/>
    </row>
    <row r="38" spans="1:5" ht="13.2" x14ac:dyDescent="0.25">
      <c r="A38" s="1" t="s">
        <v>90</v>
      </c>
    </row>
    <row r="39" spans="1:5" ht="14.4" customHeight="1" x14ac:dyDescent="0.25">
      <c r="A39" s="1" t="str">
        <f>IF(COUNTA(C39:E39)=COUNTIF(C39:E39,"OK"),"OK","ERR")</f>
        <v>OK</v>
      </c>
      <c r="C39" s="1" t="str">
        <f>IF(C36-BS!C11&lt;0.1,"OK","ERR")</f>
        <v>OK</v>
      </c>
      <c r="D39" s="1" t="str">
        <f>IF(D36-BS!D11&lt;0.1,"OK","ERR")</f>
        <v>OK</v>
      </c>
      <c r="E39" s="1" t="str">
        <f>IF(E36-BS!E11&lt;0.1,"OK","ERR")</f>
        <v>OK</v>
      </c>
    </row>
    <row r="40" spans="1:5" ht="14.4" customHeight="1" x14ac:dyDescent="0.25"/>
    <row r="41" spans="1:5" ht="14.4" hidden="1" customHeight="1" x14ac:dyDescent="0.25"/>
    <row r="42" spans="1:5" ht="14.4" hidden="1" customHeight="1" x14ac:dyDescent="0.25"/>
    <row r="43" spans="1:5" ht="14.4" hidden="1" customHeight="1" x14ac:dyDescent="0.25"/>
    <row r="44" spans="1:5" ht="14.4" hidden="1" customHeight="1" x14ac:dyDescent="0.25"/>
    <row r="45" spans="1:5" ht="14.4" hidden="1" customHeight="1" x14ac:dyDescent="0.25"/>
    <row r="46" spans="1:5" ht="14.4" hidden="1" customHeight="1" x14ac:dyDescent="0.25"/>
    <row r="47" spans="1:5" ht="14.4" hidden="1" customHeight="1" x14ac:dyDescent="0.25"/>
    <row r="48" spans="1:5" ht="14.4" hidden="1" customHeight="1" x14ac:dyDescent="0.25"/>
    <row r="49" ht="14.4" hidden="1" customHeight="1" x14ac:dyDescent="0.25"/>
    <row r="50" ht="14.4" hidden="1" customHeight="1" x14ac:dyDescent="0.25"/>
    <row r="51" ht="14.4" customHeight="1" x14ac:dyDescent="0.25"/>
    <row r="52" ht="14.4" customHeight="1" x14ac:dyDescent="0.25"/>
    <row r="53" ht="14.4" hidden="1" customHeight="1" x14ac:dyDescent="0.25"/>
    <row r="54" ht="14.4" hidden="1" customHeight="1" x14ac:dyDescent="0.25"/>
    <row r="55" ht="14.4" hidden="1" customHeight="1" x14ac:dyDescent="0.25"/>
    <row r="56" ht="14.4" hidden="1" customHeight="1" x14ac:dyDescent="0.25"/>
    <row r="57" ht="14.4" hidden="1" customHeight="1" x14ac:dyDescent="0.25"/>
    <row r="58" ht="14.4" hidden="1" customHeight="1" x14ac:dyDescent="0.25"/>
    <row r="59" ht="14.4" hidden="1" customHeight="1" x14ac:dyDescent="0.25"/>
    <row r="60" ht="14.4" hidden="1" customHeight="1" x14ac:dyDescent="0.25"/>
  </sheetData>
  <conditionalFormatting sqref="A39">
    <cfRule type="cellIs" dxfId="5" priority="3" operator="equal">
      <formula>"ERR"</formula>
    </cfRule>
    <cfRule type="cellIs" dxfId="4" priority="4" operator="equal">
      <formula>"OK"</formula>
    </cfRule>
  </conditionalFormatting>
  <conditionalFormatting sqref="C39:E39">
    <cfRule type="cellIs" dxfId="3" priority="1" operator="equal">
      <formula>"ERR"</formula>
    </cfRule>
    <cfRule type="cellIs" dxfId="2" priority="2" operator="equal">
      <formula>"OK"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layoutContexts" r:id="rId2"/>
    <customPr name="SaveUndoMode" r:id="rId3"/>
    <customPr name="screen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F40"/>
    </sheetView>
  </sheetViews>
  <sheetFormatPr defaultColWidth="0" defaultRowHeight="13.2" zeroHeight="1" x14ac:dyDescent="0.25"/>
  <cols>
    <col min="1" max="1" width="28" style="1" bestFit="1" customWidth="1"/>
    <col min="2" max="5" width="12.77734375" style="9" customWidth="1"/>
    <col min="6" max="6" width="4.44140625" style="1" customWidth="1"/>
    <col min="7" max="16384" width="8.88671875" style="1" hidden="1"/>
  </cols>
  <sheetData>
    <row r="1" spans="1:6" x14ac:dyDescent="0.25">
      <c r="A1" s="6" t="s">
        <v>83</v>
      </c>
      <c r="B1" s="1"/>
      <c r="C1" s="1"/>
      <c r="D1" s="1"/>
      <c r="E1" s="1"/>
    </row>
    <row r="2" spans="1:6" x14ac:dyDescent="0.25">
      <c r="B2" s="1"/>
      <c r="C2" s="1"/>
      <c r="D2" s="1"/>
      <c r="E2" s="1"/>
    </row>
    <row r="3" spans="1:6" x14ac:dyDescent="0.25">
      <c r="B3" s="23" t="s">
        <v>49</v>
      </c>
      <c r="C3" s="24" t="s">
        <v>50</v>
      </c>
      <c r="D3" s="25"/>
      <c r="E3" s="26"/>
    </row>
    <row r="4" spans="1:6" x14ac:dyDescent="0.25">
      <c r="A4" s="1" t="str">
        <f>Assumptions!A4</f>
        <v>Year</v>
      </c>
      <c r="B4" s="5">
        <f>Assumptions!B4</f>
        <v>2013</v>
      </c>
      <c r="C4" s="5">
        <f>Assumptions!C4</f>
        <v>2014</v>
      </c>
      <c r="D4" s="5">
        <f>Assumptions!D4</f>
        <v>2015</v>
      </c>
      <c r="E4" s="5">
        <f>Assumptions!E4</f>
        <v>2016</v>
      </c>
    </row>
    <row r="5" spans="1:6" x14ac:dyDescent="0.25">
      <c r="A5" s="1" t="str">
        <f>Assumptions!A5</f>
        <v>Days in Year</v>
      </c>
      <c r="B5" s="5">
        <f>Assumptions!B5</f>
        <v>365</v>
      </c>
      <c r="C5" s="5">
        <f>Assumptions!C5</f>
        <v>365</v>
      </c>
      <c r="D5" s="5">
        <f>Assumptions!D5</f>
        <v>365</v>
      </c>
      <c r="E5" s="5">
        <f>Assumptions!E5</f>
        <v>366</v>
      </c>
    </row>
    <row r="6" spans="1:6" x14ac:dyDescent="0.25">
      <c r="A6" s="27" t="s">
        <v>36</v>
      </c>
      <c r="B6" s="27"/>
      <c r="C6" s="27"/>
      <c r="D6" s="27"/>
      <c r="E6" s="27"/>
    </row>
    <row r="7" spans="1:6" x14ac:dyDescent="0.25">
      <c r="A7" s="6" t="s">
        <v>37</v>
      </c>
    </row>
    <row r="8" spans="1:6" x14ac:dyDescent="0.25">
      <c r="A8" s="1" t="s">
        <v>14</v>
      </c>
      <c r="C8" s="9">
        <f>PL!C21</f>
        <v>330027.23928999685</v>
      </c>
      <c r="D8" s="9">
        <f>PL!D21</f>
        <v>383754.94557582808</v>
      </c>
      <c r="E8" s="9">
        <f>PL!E21</f>
        <v>440977.88638135151</v>
      </c>
    </row>
    <row r="9" spans="1:6" x14ac:dyDescent="0.25">
      <c r="A9" s="11" t="s">
        <v>13</v>
      </c>
      <c r="C9" s="9">
        <f>-PL!C20</f>
        <v>141440.24540999864</v>
      </c>
      <c r="D9" s="9">
        <f>-PL!D20</f>
        <v>164466.40524678348</v>
      </c>
      <c r="E9" s="9">
        <f>-PL!E20</f>
        <v>188990.52273486494</v>
      </c>
    </row>
    <row r="10" spans="1:6" x14ac:dyDescent="0.25">
      <c r="A10" s="11" t="s">
        <v>9</v>
      </c>
      <c r="C10" s="9">
        <f>-PL!C15</f>
        <v>309079.66198708332</v>
      </c>
      <c r="D10" s="9">
        <f>-PL!D15</f>
        <v>282171.69578837499</v>
      </c>
      <c r="E10" s="9">
        <f>-PL!E15</f>
        <v>257954.52620953746</v>
      </c>
    </row>
    <row r="11" spans="1:6" x14ac:dyDescent="0.25">
      <c r="A11" s="11" t="s">
        <v>41</v>
      </c>
      <c r="C11" s="9">
        <f>-SUM(PL!C17:C18)</f>
        <v>103146.51251292211</v>
      </c>
      <c r="D11" s="9">
        <f>-SUM(PL!D17:D18)</f>
        <v>84911.422365014514</v>
      </c>
      <c r="E11" s="9">
        <f>-SUM(PL!E17:E18)</f>
        <v>60042.667719526216</v>
      </c>
    </row>
    <row r="12" spans="1:6" x14ac:dyDescent="0.25">
      <c r="A12" s="14" t="s">
        <v>87</v>
      </c>
      <c r="B12" s="31"/>
      <c r="C12" s="31">
        <f>SUBTOTAL(9,C8:C11)</f>
        <v>883693.65920000081</v>
      </c>
      <c r="D12" s="31">
        <f t="shared" ref="D12:E12" si="0">SUBTOTAL(9,D8:D11)</f>
        <v>915304.46897600114</v>
      </c>
      <c r="E12" s="31">
        <f t="shared" si="0"/>
        <v>947965.60304528009</v>
      </c>
    </row>
    <row r="13" spans="1:6" x14ac:dyDescent="0.25">
      <c r="A13" s="22" t="s">
        <v>69</v>
      </c>
    </row>
    <row r="14" spans="1:6" x14ac:dyDescent="0.25">
      <c r="A14" s="11" t="s">
        <v>17</v>
      </c>
      <c r="C14" s="9">
        <f>BS!B8-BS!C8</f>
        <v>-68350.117945205478</v>
      </c>
      <c r="D14" s="9">
        <f>BS!C8-BS!D8</f>
        <v>-10739.077853424707</v>
      </c>
      <c r="E14" s="9">
        <f>BS!D8-BS!E8</f>
        <v>-10023.62835890922</v>
      </c>
    </row>
    <row r="15" spans="1:6" x14ac:dyDescent="0.25">
      <c r="A15" s="11" t="s">
        <v>71</v>
      </c>
      <c r="C15" s="9">
        <f>BS!B9-BS!C9</f>
        <v>-20852.578356164508</v>
      </c>
      <c r="D15" s="9">
        <f>BS!C9-BS!D9</f>
        <v>-21478.155706849298</v>
      </c>
      <c r="E15" s="9">
        <f>BS!D9-BS!E9</f>
        <v>-20047.256717818324</v>
      </c>
      <c r="F15" s="9"/>
    </row>
    <row r="16" spans="1:6" x14ac:dyDescent="0.25">
      <c r="A16" s="11" t="s">
        <v>18</v>
      </c>
      <c r="C16" s="9">
        <f>BS!B10-BS!C10</f>
        <v>-6746.3255687791971</v>
      </c>
      <c r="D16" s="9">
        <f>BS!C10-BS!D10</f>
        <v>-6948.7153358425712</v>
      </c>
      <c r="E16" s="9">
        <f>BS!D10-BS!E10</f>
        <v>-7157.1767959178251</v>
      </c>
    </row>
    <row r="17" spans="1:5" x14ac:dyDescent="0.25">
      <c r="A17" s="11" t="s">
        <v>72</v>
      </c>
      <c r="C17" s="9">
        <f>BS!C21-BS!B21</f>
        <v>95690.165123287705</v>
      </c>
      <c r="D17" s="9">
        <f>BS!D21-BS!C21</f>
        <v>15034.708994794579</v>
      </c>
      <c r="E17" s="9">
        <f>BS!E21-BS!D21</f>
        <v>14033.079702472838</v>
      </c>
    </row>
    <row r="18" spans="1:5" x14ac:dyDescent="0.25">
      <c r="A18" s="11" t="s">
        <v>26</v>
      </c>
      <c r="C18" s="9">
        <f>BS!C22-BS!B22</f>
        <v>0</v>
      </c>
      <c r="D18" s="9">
        <f>BS!D22-BS!C22</f>
        <v>0</v>
      </c>
      <c r="E18" s="9">
        <f>BS!E22-BS!D22</f>
        <v>0</v>
      </c>
    </row>
    <row r="19" spans="1:5" x14ac:dyDescent="0.25">
      <c r="A19" s="14" t="s">
        <v>108</v>
      </c>
      <c r="B19" s="31"/>
      <c r="C19" s="31">
        <f>SUBTOTAL(9,C8:C18)</f>
        <v>883434.80245313945</v>
      </c>
      <c r="D19" s="31">
        <f t="shared" ref="D19:E19" si="1">SUBTOTAL(9,D8:D18)</f>
        <v>891173.22907467908</v>
      </c>
      <c r="E19" s="31">
        <f t="shared" si="1"/>
        <v>924770.62087510759</v>
      </c>
    </row>
    <row r="20" spans="1:5" x14ac:dyDescent="0.25">
      <c r="A20" s="21" t="s">
        <v>41</v>
      </c>
      <c r="C20" s="9">
        <f>SUM(PL!C17:C18)</f>
        <v>-103146.51251292211</v>
      </c>
      <c r="D20" s="9">
        <f>SUM(PL!D17:D18)</f>
        <v>-84911.422365014514</v>
      </c>
      <c r="E20" s="9">
        <f>SUM(PL!E17:E18)</f>
        <v>-60042.667719526216</v>
      </c>
    </row>
    <row r="21" spans="1:5" x14ac:dyDescent="0.25">
      <c r="A21" s="11" t="s">
        <v>68</v>
      </c>
      <c r="C21" s="9">
        <f>-BS!B23</f>
        <v>-255000</v>
      </c>
      <c r="D21" s="9">
        <f>-BS!C23</f>
        <v>-141440.24540999864</v>
      </c>
      <c r="E21" s="9">
        <f>-BS!D23</f>
        <v>-164466.40524678348</v>
      </c>
    </row>
    <row r="22" spans="1:5" x14ac:dyDescent="0.25">
      <c r="A22" s="2" t="s">
        <v>38</v>
      </c>
      <c r="B22" s="12"/>
      <c r="C22" s="12">
        <f>SUBTOTAL(9,C8:C21)</f>
        <v>525288.28994021728</v>
      </c>
      <c r="D22" s="12">
        <f t="shared" ref="D22:E22" si="2">SUBTOTAL(9,D8:D21)</f>
        <v>664821.56129966583</v>
      </c>
      <c r="E22" s="12">
        <f t="shared" si="2"/>
        <v>700261.54790879786</v>
      </c>
    </row>
    <row r="23" spans="1:5" x14ac:dyDescent="0.25"/>
    <row r="24" spans="1:5" x14ac:dyDescent="0.25">
      <c r="A24" s="7" t="s">
        <v>39</v>
      </c>
    </row>
    <row r="25" spans="1:5" x14ac:dyDescent="0.25">
      <c r="A25" s="11" t="s">
        <v>70</v>
      </c>
      <c r="C25" s="9">
        <f>-Assumptions!C14</f>
        <v>-20000</v>
      </c>
      <c r="D25" s="9">
        <f>-Assumptions!D14</f>
        <v>-20000</v>
      </c>
      <c r="E25" s="9">
        <f>-Assumptions!E14</f>
        <v>-20000</v>
      </c>
    </row>
    <row r="26" spans="1:5" x14ac:dyDescent="0.25"/>
    <row r="27" spans="1:5" x14ac:dyDescent="0.25">
      <c r="A27" s="6" t="s">
        <v>40</v>
      </c>
    </row>
    <row r="28" spans="1:5" x14ac:dyDescent="0.25">
      <c r="A28" s="21" t="s">
        <v>77</v>
      </c>
      <c r="C28" s="9">
        <f>Assumptions!C27</f>
        <v>0</v>
      </c>
      <c r="D28" s="9">
        <f>Assumptions!D27</f>
        <v>50000</v>
      </c>
      <c r="E28" s="9">
        <f>Assumptions!E27</f>
        <v>0</v>
      </c>
    </row>
    <row r="29" spans="1:5" x14ac:dyDescent="0.25">
      <c r="A29" s="11" t="s">
        <v>78</v>
      </c>
      <c r="C29" s="9">
        <f>-Assumptions!C25</f>
        <v>-100000</v>
      </c>
      <c r="D29" s="9">
        <f>-Assumptions!D25</f>
        <v>-100000</v>
      </c>
      <c r="E29" s="9">
        <f>-Assumptions!E25</f>
        <v>-100000</v>
      </c>
    </row>
    <row r="30" spans="1:5" x14ac:dyDescent="0.25">
      <c r="A30" s="2" t="s">
        <v>42</v>
      </c>
      <c r="B30" s="12"/>
      <c r="C30" s="12">
        <f>SUBTOTAL(9,C28:C29)</f>
        <v>-100000</v>
      </c>
      <c r="D30" s="12">
        <f>SUBTOTAL(9,D28:D29)</f>
        <v>-50000</v>
      </c>
      <c r="E30" s="12">
        <f>SUBTOTAL(9,E28:E29)</f>
        <v>-100000</v>
      </c>
    </row>
    <row r="31" spans="1:5" x14ac:dyDescent="0.25"/>
    <row r="32" spans="1:5" ht="13.8" thickBot="1" x14ac:dyDescent="0.3">
      <c r="A32" s="4" t="s">
        <v>43</v>
      </c>
      <c r="B32" s="10"/>
      <c r="C32" s="10">
        <f>SUBTOTAL(9,C8:C30)</f>
        <v>405288.28994021728</v>
      </c>
      <c r="D32" s="10">
        <f>SUBTOTAL(9,D8:D30)</f>
        <v>594821.56129966583</v>
      </c>
      <c r="E32" s="10">
        <f>SUBTOTAL(9,E8:E30)</f>
        <v>580261.54790879786</v>
      </c>
    </row>
    <row r="33" spans="1:5" ht="13.8" thickTop="1" x14ac:dyDescent="0.25"/>
    <row r="34" spans="1:5" x14ac:dyDescent="0.25">
      <c r="A34" s="8" t="s">
        <v>89</v>
      </c>
      <c r="C34" s="9">
        <f>BS!B11</f>
        <v>2877419.391154204</v>
      </c>
      <c r="D34" s="9">
        <f>C35</f>
        <v>3282707.6810944211</v>
      </c>
      <c r="E34" s="9">
        <f>D35</f>
        <v>3877529.2423940869</v>
      </c>
    </row>
    <row r="35" spans="1:5" x14ac:dyDescent="0.25">
      <c r="A35" s="7" t="s">
        <v>88</v>
      </c>
      <c r="B35" s="33"/>
      <c r="C35" s="33">
        <f>SUBTOTAL(9,C8:C34)</f>
        <v>3282707.6810944211</v>
      </c>
      <c r="D35" s="33">
        <f t="shared" ref="D35:E35" si="3">SUBTOTAL(9,D8:D34)</f>
        <v>3877529.2423940869</v>
      </c>
      <c r="E35" s="33">
        <f t="shared" si="3"/>
        <v>4457790.7903028848</v>
      </c>
    </row>
    <row r="36" spans="1:5" x14ac:dyDescent="0.25"/>
    <row r="37" spans="1:5" x14ac:dyDescent="0.25">
      <c r="A37" s="1" t="s">
        <v>90</v>
      </c>
    </row>
    <row r="38" spans="1:5" x14ac:dyDescent="0.25">
      <c r="A38" s="1" t="str">
        <f>IF(COUNTA(C38:E38)=COUNTIF(C38:E38,"OK"),"OK","ERR")</f>
        <v>OK</v>
      </c>
      <c r="C38" s="9" t="str">
        <f>IF(C35-BS!C11=0,"OK","ERR")</f>
        <v>OK</v>
      </c>
      <c r="D38" s="9" t="str">
        <f>IF(D35-BS!D11=0,"OK","ERR")</f>
        <v>OK</v>
      </c>
      <c r="E38" s="9" t="str">
        <f>IF(E35-BS!E11=0,"OK","ERR")</f>
        <v>OK</v>
      </c>
    </row>
    <row r="39" spans="1:5" x14ac:dyDescent="0.25"/>
    <row r="40" spans="1:5" x14ac:dyDescent="0.25"/>
    <row r="41" spans="1:5" x14ac:dyDescent="0.25"/>
    <row r="42" spans="1:5" x14ac:dyDescent="0.25"/>
  </sheetData>
  <conditionalFormatting sqref="A38:E38">
    <cfRule type="cellIs" dxfId="1" priority="1" operator="equal">
      <formula>"ERR"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layoutContexts" r:id="rId2"/>
    <customPr name="SaveUndoMod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Checks</vt:lpstr>
      <vt:lpstr>Assumptions</vt:lpstr>
      <vt:lpstr>PL</vt:lpstr>
      <vt:lpstr>BS</vt:lpstr>
      <vt:lpstr>CF - Direct</vt:lpstr>
      <vt:lpstr>CF - Indirect</vt:lpstr>
      <vt:lpstr>CheckBS</vt:lpstr>
      <vt:lpstr>CheckC2C</vt:lpstr>
      <vt:lpstr>CheckCash</vt:lpstr>
      <vt:lpstr>Assumptions!Print_Area</vt:lpstr>
      <vt:lpstr>BS!Print_Area</vt:lpstr>
      <vt:lpstr>'CF - Direct'!Print_Area</vt:lpstr>
      <vt:lpstr>'CF - Indirect'!Print_Area</vt:lpstr>
      <vt:lpstr>PL!Print_Area</vt:lpstr>
    </vt:vector>
  </TitlesOfParts>
  <Company>Access Analytic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Jlim</dc:creator>
  <cp:lastModifiedBy>May Chai</cp:lastModifiedBy>
  <cp:lastPrinted>2013-11-26T04:41:38Z</cp:lastPrinted>
  <dcterms:created xsi:type="dcterms:W3CDTF">2013-10-04T05:26:13Z</dcterms:created>
  <dcterms:modified xsi:type="dcterms:W3CDTF">2013-11-26T04:46:12Z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2013-10-06T15:15:35Z</vt:filetime>
  </property>
</Properties>
</file>